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omments6.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17.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omments7.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omments8.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omments9.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omments10.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omments11.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omments12.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8.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xml" ContentType="application/vnd.openxmlformats-officedocument.themeOverride+xml"/>
  <Override PartName="/xl/drawings/drawing40.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2.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0.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1.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2.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3.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xml" ContentType="application/vnd.openxmlformats-officedocument.themeOverride+xml"/>
  <Override PartName="/xl/drawings/drawing54.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5.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6.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7.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8.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9.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0.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1.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2.xml" ContentType="application/vnd.openxmlformats-officedocument.drawingml.chartshape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PLANEACIÓN\TRANSPARENCIA Y ACCESO A LA INFORMACIÓN PÚBLICA\CATEGORÍA 6\"/>
    </mc:Choice>
  </mc:AlternateContent>
  <bookViews>
    <workbookView xWindow="0" yWindow="0" windowWidth="14370" windowHeight="11010" firstSheet="9" activeTab="14"/>
  </bookViews>
  <sheets>
    <sheet name="LISTA DESPLEGABLE" sheetId="5" state="hidden" r:id="rId1"/>
    <sheet name="INSTRUCTIVO" sheetId="4" r:id="rId2"/>
    <sheet name="SISTEMA INTEGRADO DE GESTIÓN" sheetId="17" r:id="rId3"/>
    <sheet name="CONTROL DE CALIDAD" sheetId="21" r:id="rId4"/>
    <sheet name="GESTIÓN COMERCIAL " sheetId="8" r:id="rId5"/>
    <sheet name="GESTIÓN FINANCIERA" sheetId="9" r:id="rId6"/>
    <sheet name="TALENTO HUMANO" sheetId="12" r:id="rId7"/>
    <sheet name="COMUNICACIONES INSTITUCIONALES " sheetId="25" r:id="rId8"/>
    <sheet name="GESTIÓN DE PRODUCCIÓN" sheetId="26" r:id="rId9"/>
    <sheet name="GESTIÓN JURIDICA" sheetId="27" r:id="rId10"/>
    <sheet name="GESTIÓN TIC" sheetId="28" r:id="rId11"/>
    <sheet name="INNOVACIÓN Y DESARROLLO " sheetId="29" r:id="rId12"/>
    <sheet name="GESTIÓN AMBIENTAL" sheetId="30" r:id="rId13"/>
    <sheet name="TODA LA BASE " sheetId="1" r:id="rId14"/>
    <sheet name="REVISIÓN POR LA DIRECCIÓN TTRAL" sheetId="2" r:id="rId15"/>
    <sheet name="Hoja1" sheetId="31" r:id="rId16"/>
    <sheet name="REPORTE CONSOLIDADO" sheetId="6" state="hidden" r:id="rId17"/>
  </sheets>
  <externalReferences>
    <externalReference r:id="rId18"/>
    <externalReference r:id="rId19"/>
    <externalReference r:id="rId20"/>
  </externalReferences>
  <definedNames>
    <definedName name="_xlnm._FilterDatabase" localSheetId="7" hidden="1">'COMUNICACIONES INSTITUCIONALES '!$B$9:$W$14</definedName>
    <definedName name="_xlnm._FilterDatabase" localSheetId="3" hidden="1">'CONTROL DE CALIDAD'!$D$8:$U$14</definedName>
    <definedName name="_xlnm._FilterDatabase" localSheetId="12" hidden="1">'GESTIÓN AMBIENTAL'!$B$9:$W$15</definedName>
    <definedName name="_xlnm._FilterDatabase" localSheetId="4" hidden="1">'GESTIÓN COMERCIAL '!$D$8:$U$14</definedName>
    <definedName name="_xlnm._FilterDatabase" localSheetId="8" hidden="1">'GESTIÓN DE PRODUCCIÓN'!$B$9:$W$17</definedName>
    <definedName name="_xlnm._FilterDatabase" localSheetId="5" hidden="1">'GESTIÓN FINANCIERA'!$D$8:$U$17</definedName>
    <definedName name="_xlnm._FilterDatabase" localSheetId="9" hidden="1">'GESTIÓN JURIDICA'!$B$9:$W$15</definedName>
    <definedName name="_xlnm._FilterDatabase" localSheetId="10" hidden="1">'GESTIÓN TIC'!$B$9:$W$13</definedName>
    <definedName name="_xlnm._FilterDatabase" localSheetId="11" hidden="1">'INNOVACIÓN Y DESARROLLO '!$B$9:$W$14</definedName>
    <definedName name="_xlnm._FilterDatabase" localSheetId="16" hidden="1">'REPORTE CONSOLIDADO'!$B$2:$T$16</definedName>
    <definedName name="_xlnm._FilterDatabase" localSheetId="2" hidden="1">'SISTEMA INTEGRADO DE GESTIÓN'!$D$8:$U$15</definedName>
    <definedName name="_xlnm._FilterDatabase" localSheetId="6" hidden="1">'TALENTO HUMANO'!$D$8:$U$50</definedName>
    <definedName name="_xlnm._FilterDatabase" localSheetId="13" hidden="1">'TODA LA BASE '!$B$9:$W$108</definedName>
    <definedName name="_xlnm.Print_Area" localSheetId="7">'COMUNICACIONES INSTITUCIONALES '!$A$1:$X$16</definedName>
    <definedName name="_xlnm.Print_Area" localSheetId="3">'CONTROL DE CALIDAD'!$A$1:$X$16</definedName>
    <definedName name="_xlnm.Print_Area" localSheetId="12">'GESTIÓN AMBIENTAL'!$A$1:$X$17</definedName>
    <definedName name="_xlnm.Print_Area" localSheetId="4">'GESTIÓN COMERCIAL '!$A$1:$X$15</definedName>
    <definedName name="_xlnm.Print_Area" localSheetId="8">'GESTIÓN DE PRODUCCIÓN'!$A$1:$X$19</definedName>
    <definedName name="_xlnm.Print_Area" localSheetId="5">'GESTIÓN FINANCIERA'!$A$1:$X$19</definedName>
    <definedName name="_xlnm.Print_Area" localSheetId="9">'GESTIÓN JURIDICA'!$A$1:$X$17</definedName>
    <definedName name="_xlnm.Print_Area" localSheetId="10">'GESTIÓN TIC'!$A$1:$X$15</definedName>
    <definedName name="_xlnm.Print_Area" localSheetId="11">'INNOVACIÓN Y DESARROLLO '!$A$1:$X$16</definedName>
    <definedName name="_xlnm.Print_Area" localSheetId="2">'SISTEMA INTEGRADO DE GESTIÓN'!$A$1:$X$15</definedName>
    <definedName name="_xlnm.Print_Area" localSheetId="6">'TALENTO HUMANO'!$A$1:$X$50</definedName>
    <definedName name="_xlnm.Print_Area" localSheetId="13">'TODA LA BASE '!$A$1:$X$110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95" i="1" l="1"/>
  <c r="U96" i="1"/>
  <c r="U97" i="1"/>
  <c r="O13" i="17"/>
  <c r="O12" i="17"/>
  <c r="O13" i="28" l="1"/>
  <c r="O12" i="28"/>
  <c r="O11" i="28"/>
  <c r="O15" i="30" l="1"/>
  <c r="O14" i="30"/>
  <c r="O13" i="30"/>
  <c r="O12" i="30"/>
  <c r="O11" i="30"/>
  <c r="O10" i="30"/>
  <c r="U108" i="1" l="1"/>
  <c r="U107" i="1"/>
  <c r="U106" i="1"/>
  <c r="U105" i="1"/>
  <c r="U104" i="1"/>
  <c r="U103" i="1"/>
  <c r="U102" i="1"/>
  <c r="U101" i="1"/>
  <c r="U100" i="1"/>
  <c r="U99" i="1"/>
  <c r="U98" i="1"/>
  <c r="O13" i="21"/>
  <c r="P10" i="21"/>
  <c r="O11" i="21"/>
  <c r="O14" i="25"/>
  <c r="O13" i="25"/>
  <c r="O11" i="25"/>
  <c r="O12" i="25"/>
  <c r="O10" i="25" l="1"/>
  <c r="U94" i="1" l="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0" i="1"/>
  <c r="O15" i="17"/>
  <c r="O14" i="17"/>
  <c r="O10" i="17"/>
  <c r="O14" i="27" l="1"/>
  <c r="O13" i="27"/>
  <c r="O12" i="27"/>
  <c r="O11" i="27"/>
  <c r="O10" i="26" l="1"/>
  <c r="O17" i="26"/>
  <c r="O16" i="26"/>
  <c r="O15" i="26"/>
  <c r="O14" i="26"/>
  <c r="O13" i="26"/>
  <c r="I1" i="31" l="1"/>
  <c r="O48" i="12"/>
  <c r="O50" i="12"/>
  <c r="O49" i="12"/>
  <c r="O45" i="12"/>
  <c r="O44" i="12"/>
  <c r="O40" i="12"/>
  <c r="O39" i="12"/>
  <c r="O38" i="12"/>
  <c r="O34" i="12"/>
  <c r="O33" i="12"/>
  <c r="O18" i="12"/>
  <c r="O16" i="12"/>
  <c r="O17" i="12"/>
  <c r="O15" i="12"/>
  <c r="O14" i="12"/>
  <c r="O13" i="12"/>
  <c r="O12" i="12"/>
  <c r="O11" i="12"/>
  <c r="O16" i="9"/>
  <c r="O13" i="9"/>
  <c r="O12" i="9"/>
  <c r="O11" i="9"/>
  <c r="O10" i="9"/>
  <c r="O12" i="8" l="1"/>
  <c r="O11" i="8"/>
  <c r="O12" i="21"/>
  <c r="O108" i="1" l="1"/>
  <c r="O107" i="1"/>
  <c r="O106" i="1"/>
  <c r="O105" i="1"/>
  <c r="O104" i="1"/>
  <c r="O103" i="1"/>
  <c r="O102" i="1"/>
  <c r="O101" i="1"/>
  <c r="O100" i="1"/>
  <c r="O99" i="1"/>
  <c r="O98" i="1"/>
  <c r="O97" i="1"/>
  <c r="O96" i="1"/>
  <c r="O95" i="1"/>
  <c r="O94" i="1"/>
  <c r="O88" i="1"/>
  <c r="O87" i="1"/>
  <c r="O86" i="1"/>
  <c r="O85" i="1"/>
  <c r="O84" i="1"/>
  <c r="O83" i="1"/>
  <c r="O72" i="1"/>
  <c r="O71" i="1"/>
  <c r="O70" i="1"/>
  <c r="O69" i="1"/>
  <c r="O68" i="1"/>
  <c r="O67" i="1"/>
  <c r="O57" i="1"/>
  <c r="O18" i="1"/>
  <c r="O17" i="1"/>
  <c r="O16" i="1"/>
  <c r="Q16" i="1" s="1"/>
  <c r="P94" i="1" l="1"/>
  <c r="P83" i="1"/>
  <c r="P67" i="1"/>
  <c r="P15" i="30"/>
  <c r="P13" i="30"/>
  <c r="P10" i="30"/>
  <c r="O82" i="1"/>
  <c r="O81" i="1"/>
  <c r="O80" i="1"/>
  <c r="O79" i="1"/>
  <c r="O78" i="1"/>
  <c r="O77" i="1"/>
  <c r="O76" i="1"/>
  <c r="O75" i="1"/>
  <c r="O74" i="1"/>
  <c r="O73" i="1"/>
  <c r="P11" i="25"/>
  <c r="O93" i="1"/>
  <c r="O92" i="1"/>
  <c r="O91" i="1"/>
  <c r="O90" i="1"/>
  <c r="O89" i="1"/>
  <c r="O66" i="1"/>
  <c r="O65" i="1"/>
  <c r="O64" i="1"/>
  <c r="O63" i="1"/>
  <c r="O62" i="1"/>
  <c r="O61" i="1"/>
  <c r="O60" i="1"/>
  <c r="P89" i="1" l="1"/>
  <c r="P72" i="1"/>
  <c r="P10" i="29"/>
  <c r="P11" i="27"/>
  <c r="P10" i="26"/>
  <c r="O39" i="1" l="1"/>
  <c r="O35" i="1"/>
  <c r="O34" i="1"/>
  <c r="O33" i="1"/>
  <c r="O32" i="1"/>
  <c r="P108" i="1" l="1"/>
  <c r="O10" i="1"/>
  <c r="O11" i="1"/>
  <c r="O12" i="1"/>
  <c r="O13" i="1"/>
  <c r="O14" i="1"/>
  <c r="O15" i="1"/>
  <c r="O19" i="1"/>
  <c r="S19" i="1"/>
  <c r="O20" i="1"/>
  <c r="O21" i="1"/>
  <c r="O22" i="1"/>
  <c r="O23" i="1"/>
  <c r="O24" i="1"/>
  <c r="O25" i="1"/>
  <c r="O26" i="1"/>
  <c r="O27" i="1"/>
  <c r="O28" i="1"/>
  <c r="O29" i="1"/>
  <c r="O30" i="1"/>
  <c r="O31" i="1"/>
  <c r="O36" i="1"/>
  <c r="O37" i="1"/>
  <c r="O38" i="1"/>
  <c r="O40" i="1"/>
  <c r="O41" i="1"/>
  <c r="O42" i="1"/>
  <c r="O43" i="1"/>
  <c r="O44" i="1"/>
  <c r="O45" i="1"/>
  <c r="O46" i="1"/>
  <c r="O47" i="1"/>
  <c r="O48" i="1"/>
  <c r="O49" i="1"/>
  <c r="O50" i="1"/>
  <c r="O51" i="1"/>
  <c r="O52" i="1"/>
  <c r="O53" i="1"/>
  <c r="O54" i="1"/>
  <c r="O55" i="1"/>
  <c r="O56" i="1"/>
  <c r="O58" i="1"/>
  <c r="O59" i="1"/>
  <c r="P10" i="1" l="1"/>
  <c r="P31" i="1"/>
  <c r="P23" i="1"/>
  <c r="P106" i="1"/>
  <c r="P103" i="1"/>
  <c r="P18" i="1"/>
  <c r="P16" i="1"/>
  <c r="P10" i="17" l="1"/>
  <c r="P48" i="12"/>
  <c r="R10" i="12"/>
  <c r="P11" i="9"/>
  <c r="S11" i="8"/>
  <c r="P10" i="8"/>
  <c r="H10" i="6" l="1"/>
  <c r="H11" i="6"/>
  <c r="H12" i="6"/>
  <c r="H13" i="6"/>
  <c r="H14" i="6"/>
  <c r="H15" i="6"/>
  <c r="H16" i="6"/>
  <c r="H9" i="6"/>
  <c r="H8" i="6"/>
  <c r="H7" i="6"/>
  <c r="H6" i="6"/>
  <c r="H5" i="6"/>
  <c r="H4" i="6"/>
</calcChain>
</file>

<file path=xl/comments1.xml><?xml version="1.0" encoding="utf-8"?>
<comments xmlns="http://schemas.openxmlformats.org/spreadsheetml/2006/main">
  <authors>
    <author>Diana Alessandra Blanco Bernal</author>
    <author>cristhian.funeme</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 ref="M10" authorId="0" shapeId="0">
      <text>
        <r>
          <rPr>
            <sz val="9"/>
            <color indexed="81"/>
            <rFont val="Tahoma"/>
            <family val="2"/>
          </rPr>
          <t xml:space="preserve">La métrica correspondiente al programa de auditoria se evaluara dos (2) veces al año.
</t>
        </r>
      </text>
    </comment>
    <comment ref="O10" authorId="1" shapeId="0">
      <text>
        <r>
          <rPr>
            <sz val="11"/>
            <color indexed="81"/>
            <rFont val="Tahoma"/>
            <family val="2"/>
          </rPr>
          <t>Se debe formular la casilla.</t>
        </r>
        <r>
          <rPr>
            <sz val="9"/>
            <color indexed="81"/>
            <rFont val="Tahoma"/>
            <family val="2"/>
          </rPr>
          <t xml:space="preserve"> </t>
        </r>
      </text>
    </comment>
  </commentList>
</comments>
</file>

<file path=xl/comments10.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List>
</comments>
</file>

<file path=xl/comments11.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List>
</comments>
</file>

<file path=xl/comments12.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 ref="H10" authorId="0" shapeId="0">
      <text>
        <r>
          <rPr>
            <b/>
            <sz val="9"/>
            <color indexed="81"/>
            <rFont val="Tahoma"/>
            <family val="2"/>
          </rPr>
          <t>Diana Alessandra Blanco Bernal:</t>
        </r>
        <r>
          <rPr>
            <sz val="9"/>
            <color indexed="81"/>
            <rFont val="Tahoma"/>
            <family val="2"/>
          </rPr>
          <t xml:space="preserve">
Desagregar.</t>
        </r>
      </text>
    </comment>
    <comment ref="M10" authorId="0" shapeId="0">
      <text>
        <r>
          <rPr>
            <b/>
            <sz val="9"/>
            <color indexed="81"/>
            <rFont val="Tahoma"/>
            <family val="2"/>
          </rPr>
          <t>Diana Alessandra Blanco Bernal:</t>
        </r>
        <r>
          <rPr>
            <sz val="9"/>
            <color indexed="81"/>
            <rFont val="Tahoma"/>
            <family val="2"/>
          </rPr>
          <t xml:space="preserve">
La métrica correspondiente al programa de auditoria se evaluara dos (2) veces al año.
</t>
        </r>
      </text>
    </comment>
    <comment ref="O22" authorId="0" shapeId="0">
      <text>
        <r>
          <rPr>
            <b/>
            <sz val="9"/>
            <color indexed="81"/>
            <rFont val="Tahoma"/>
            <family val="2"/>
          </rPr>
          <t>Diana Alessandra Blanco Bernal:</t>
        </r>
        <r>
          <rPr>
            <sz val="9"/>
            <color indexed="81"/>
            <rFont val="Tahoma"/>
            <family val="2"/>
          </rPr>
          <t xml:space="preserve">
Documentar la alternativa de negocio, se valora en (0) %, lo anterior teniendo en cuenta que no se allegaron los registros requeridos.</t>
        </r>
      </text>
    </comment>
    <comment ref="U22" authorId="0" shapeId="0">
      <text>
        <r>
          <rPr>
            <b/>
            <sz val="9"/>
            <color indexed="81"/>
            <rFont val="Tahoma"/>
            <family val="2"/>
          </rPr>
          <t>Diana Alessandra Blanco Bernal:</t>
        </r>
        <r>
          <rPr>
            <sz val="9"/>
            <color indexed="81"/>
            <rFont val="Tahoma"/>
            <family val="2"/>
          </rPr>
          <t xml:space="preserve">
Documentar la alternativa de negocio, se valora en (0) %, lo anterior teniendo en cuenta que no se allegaron los registros requeridos.</t>
        </r>
      </text>
    </comment>
    <comment ref="O23" authorId="0" shapeId="0">
      <text>
        <r>
          <rPr>
            <b/>
            <sz val="9"/>
            <color indexed="81"/>
            <rFont val="Tahoma"/>
            <family val="2"/>
          </rPr>
          <t>Diana Alessandra Blanco Bernal:</t>
        </r>
        <r>
          <rPr>
            <sz val="9"/>
            <color indexed="81"/>
            <rFont val="Tahoma"/>
            <family val="2"/>
          </rPr>
          <t xml:space="preserve">
Se recomienda indexar el término de cierre al procedimiento correspondiente.</t>
        </r>
      </text>
    </comment>
    <comment ref="U23" authorId="0" shapeId="0">
      <text>
        <r>
          <rPr>
            <b/>
            <sz val="9"/>
            <color indexed="81"/>
            <rFont val="Tahoma"/>
            <family val="2"/>
          </rPr>
          <t>Diana Alessandra Blanco Bernal:</t>
        </r>
        <r>
          <rPr>
            <sz val="9"/>
            <color indexed="81"/>
            <rFont val="Tahoma"/>
            <family val="2"/>
          </rPr>
          <t xml:space="preserve">
Se recomienda indexar el término de cierre al procedimiento correspondiente.</t>
        </r>
      </text>
    </comment>
    <comment ref="O26" authorId="0" shapeId="0">
      <text>
        <r>
          <rPr>
            <b/>
            <sz val="9"/>
            <color indexed="81"/>
            <rFont val="Tahoma"/>
            <family val="2"/>
          </rPr>
          <t>Diana Alessandra Blanco Bernal:</t>
        </r>
        <r>
          <rPr>
            <sz val="9"/>
            <color indexed="81"/>
            <rFont val="Tahoma"/>
            <family val="2"/>
          </rPr>
          <t xml:space="preserve">
Con el fin de generar resultados uniformes y determinar cumplimiento en términos porcentuales, se reporta dato %.
</t>
        </r>
      </text>
    </comment>
    <comment ref="U26" authorId="0" shapeId="0">
      <text>
        <r>
          <rPr>
            <b/>
            <sz val="9"/>
            <color indexed="81"/>
            <rFont val="Tahoma"/>
            <family val="2"/>
          </rPr>
          <t>Diana Alessandra Blanco Bernal:</t>
        </r>
        <r>
          <rPr>
            <sz val="9"/>
            <color indexed="81"/>
            <rFont val="Tahoma"/>
            <family val="2"/>
          </rPr>
          <t xml:space="preserve">
Con el fin de generar resultados uniformes y determinar cumplimiento en términos porcentuales, se reporta dato %.
</t>
        </r>
      </text>
    </comment>
    <comment ref="T28" authorId="0" shapeId="0">
      <text>
        <r>
          <rPr>
            <b/>
            <sz val="9"/>
            <color indexed="81"/>
            <rFont val="Tahoma"/>
            <family val="2"/>
          </rPr>
          <t>Diana Alessandra Blanco Bernal:</t>
        </r>
        <r>
          <rPr>
            <sz val="9"/>
            <color indexed="81"/>
            <rFont val="Tahoma"/>
            <family val="2"/>
          </rPr>
          <t xml:space="preserve">
Concertado con el líder de Planeación.</t>
        </r>
      </text>
    </comment>
    <comment ref="M68" authorId="0" shapeId="0">
      <text>
        <r>
          <rPr>
            <b/>
            <sz val="9"/>
            <color indexed="81"/>
            <rFont val="Tahoma"/>
            <family val="2"/>
          </rPr>
          <t>Diana Alessandra Blanco Bernal:</t>
        </r>
        <r>
          <rPr>
            <sz val="9"/>
            <color indexed="81"/>
            <rFont val="Tahoma"/>
            <family val="2"/>
          </rPr>
          <t xml:space="preserve">
Validar si efectivamente mediante la métrica planteada se logra obtener resultados para toma de decisiones, lo anterior con respecto a las acciones proyectadas.
</t>
        </r>
      </text>
    </comment>
  </commentList>
</comments>
</file>

<file path=xl/comments13.xml><?xml version="1.0" encoding="utf-8"?>
<comments xmlns="http://schemas.openxmlformats.org/spreadsheetml/2006/main">
  <authors>
    <author/>
  </authors>
  <commentList>
    <comment ref="I1" authorId="0" shapeId="0">
      <text>
        <r>
          <rPr>
            <sz val="11"/>
            <color theme="1"/>
            <rFont val="Arial"/>
            <family val="2"/>
          </rPr>
          <t>11 cápsulas de información y conocimiento por el canal del whatsapp de Comunicaciones ELC
======</t>
        </r>
      </text>
    </comment>
  </commentList>
</comments>
</file>

<file path=xl/comments2.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List>
</comments>
</file>

<file path=xl/comments3.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 ref="O14" authorId="0" shapeId="0">
      <text>
        <r>
          <rPr>
            <b/>
            <sz val="9"/>
            <color indexed="81"/>
            <rFont val="Tahoma"/>
            <family val="2"/>
          </rPr>
          <t>Diana Alessandra Blanco Bernal:</t>
        </r>
        <r>
          <rPr>
            <sz val="9"/>
            <color indexed="81"/>
            <rFont val="Tahoma"/>
            <family val="2"/>
          </rPr>
          <t xml:space="preserve">
Documentar la alternativa de negocio, se valora en (0) %, lo anterior teniendo en cuenta que no se allegaron los registros requeridos.</t>
        </r>
      </text>
    </comment>
  </commentList>
</comments>
</file>

<file path=xl/comments4.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 ref="O10" authorId="0" shapeId="0">
      <text>
        <r>
          <rPr>
            <b/>
            <sz val="9"/>
            <color indexed="81"/>
            <rFont val="Tahoma"/>
            <family val="2"/>
          </rPr>
          <t>Diana Alessandra Blanco Bernal:</t>
        </r>
        <r>
          <rPr>
            <sz val="9"/>
            <color indexed="81"/>
            <rFont val="Tahoma"/>
            <family val="2"/>
          </rPr>
          <t xml:space="preserve">
Se recomienda indexar el término de cierre al procedimiento correspondiente.</t>
        </r>
      </text>
    </comment>
    <comment ref="O13" authorId="0" shapeId="0">
      <text>
        <r>
          <rPr>
            <b/>
            <sz val="9"/>
            <color indexed="81"/>
            <rFont val="Tahoma"/>
            <family val="2"/>
          </rPr>
          <t>Diana Alessandra Blanco Bernal:</t>
        </r>
        <r>
          <rPr>
            <sz val="9"/>
            <color indexed="81"/>
            <rFont val="Tahoma"/>
            <family val="2"/>
          </rPr>
          <t xml:space="preserve">
Con el fin de generar resultados uniformes y determinar cumplimiento en términos porcentuales, se reporta dato %.
</t>
        </r>
      </text>
    </comment>
    <comment ref="T15" authorId="0" shapeId="0">
      <text>
        <r>
          <rPr>
            <b/>
            <sz val="9"/>
            <color indexed="81"/>
            <rFont val="Tahoma"/>
            <family val="2"/>
          </rPr>
          <t>Diana Alessandra Blanco Bernal:</t>
        </r>
        <r>
          <rPr>
            <sz val="9"/>
            <color indexed="81"/>
            <rFont val="Tahoma"/>
            <family val="2"/>
          </rPr>
          <t xml:space="preserve">
Concertado con el líder de Planeación.</t>
        </r>
      </text>
    </comment>
  </commentList>
</comments>
</file>

<file path=xl/comments5.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List>
</comments>
</file>

<file path=xl/comments6.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 ref="M11" authorId="0" shapeId="0">
      <text>
        <r>
          <rPr>
            <b/>
            <sz val="9"/>
            <color indexed="81"/>
            <rFont val="Tahoma"/>
            <family val="2"/>
          </rPr>
          <t>Diana Alessandra Blanco Bernal:</t>
        </r>
        <r>
          <rPr>
            <sz val="9"/>
            <color indexed="81"/>
            <rFont val="Tahoma"/>
            <family val="2"/>
          </rPr>
          <t xml:space="preserve">
Validar si efectivamente mediante la métrica planteada se logra obtener resultados para toma de decisiones, lo anterior con respecto a las acciones proyectadas.
</t>
        </r>
      </text>
    </comment>
  </commentList>
</comments>
</file>

<file path=xl/comments7.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List>
</comments>
</file>

<file path=xl/comments8.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List>
</comments>
</file>

<file path=xl/comments9.xml><?xml version="1.0" encoding="utf-8"?>
<comments xmlns="http://schemas.openxmlformats.org/spreadsheetml/2006/main">
  <authors>
    <author>Diana Alessandra Blanco Bernal</author>
  </authors>
  <commentList>
    <comment ref="H9" authorId="0" shapeId="0">
      <text>
        <r>
          <rPr>
            <sz val="12"/>
            <color indexed="81"/>
            <rFont val="Arial"/>
            <family val="2"/>
          </rPr>
          <t>Qué acciones o medidas se tomarán? Un plan es una simple guía que le indica paso por paso cómo alcanzar los objetivos que se ha planteado. Si su objetivo de calidad consiste en «mejorar la entrega a tiempo de un 90% a un 95% este año», usted necesitaría poner varias medidas en práctica para que esto ocurriese. Por ejemplo, necesitaría investigar las opciones que existen para reducir el tiempo del proceso. Después, tendría que identificar las herramientas necesarias para conseguir reducir el tiempo. A continuación, necesitaría conseguir esas herramientas necesarias. Posteriormente formar a los trabajadores sobre el uso de esas nuevas herramientas, etc.</t>
        </r>
      </text>
    </comment>
    <comment ref="I9" authorId="0" shapeId="0">
      <text>
        <r>
          <rPr>
            <sz val="12"/>
            <color indexed="81"/>
            <rFont val="Arial"/>
            <family val="2"/>
          </rPr>
          <t>¿Qué recursos necesitaría? Necesita plantearse qué necesita para cada medida que vaya a tomar (dinero, herramientas y otros recursos).</t>
        </r>
      </text>
    </comment>
    <comment ref="J9" authorId="0" shapeId="0">
      <text>
        <r>
          <rPr>
            <sz val="12"/>
            <color indexed="81"/>
            <rFont val="Arial"/>
            <family val="2"/>
          </rPr>
          <t>¿Quién ejecutará las acciones? Para que se realice una acción, alguien tiene que ser el encargado de realizarla. Esta será la persona que utilice los recursos disponibles para hacer el trabajo en tiempo y forma.</t>
        </r>
      </text>
    </comment>
    <comment ref="K9" authorId="0" shapeId="0">
      <text>
        <r>
          <rPr>
            <sz val="12"/>
            <color indexed="81"/>
            <rFont val="Arial"/>
            <family val="2"/>
          </rPr>
          <t>¿Cuáles son las fechas límite? Si está intentando cumplir con una fecha de entrega para conseguir el objetivo general, cada acción que se realice tendrá que tener un tiempo definido para que se cumpla. Si no se dispusiera de esta información, sería mucho más difícil comprobar si las tareas están progresando como es debido para cumplir con la fecha límite.</t>
        </r>
      </text>
    </comment>
    <comment ref="L9" authorId="0" shapeId="0">
      <text>
        <r>
          <rPr>
            <sz val="12"/>
            <color indexed="81"/>
            <rFont val="Arial"/>
            <family val="2"/>
          </rPr>
          <t>¿Cómo evaluará los resultados? Esto no es obligatorio para cada acción, pero… ¿cómo sabrá si su plan ha tenido éxito? En el ejemplo anterior, usted estaba controlando el tiempo de entrega en su empresa. Sabrá si su plan funcionó correctamente si consiguió alcanzar y mantener los requisitos que exigía el contrato de al menos mejorar el tiempo de entrega a tiempo hasta el 95%.</t>
        </r>
      </text>
    </comment>
  </commentList>
</comments>
</file>

<file path=xl/sharedStrings.xml><?xml version="1.0" encoding="utf-8"?>
<sst xmlns="http://schemas.openxmlformats.org/spreadsheetml/2006/main" count="1417" uniqueCount="297">
  <si>
    <t xml:space="preserve">INDICADOR </t>
  </si>
  <si>
    <t>RESULTADOS OBTENIDOS</t>
  </si>
  <si>
    <t>EN PERIODOS PROGRAMADOS Y CONTINUO.</t>
  </si>
  <si>
    <t>TODOS LOS MACROPROCESOS.</t>
  </si>
  <si>
    <t>META</t>
  </si>
  <si>
    <t>PONDERACIÓN DE LOS INDICADORES</t>
  </si>
  <si>
    <t xml:space="preserve">EJES ESTRATÉGICOS </t>
  </si>
  <si>
    <t xml:space="preserve">EMPRESA DE LICORES DE CUNDINAMARCA </t>
  </si>
  <si>
    <t>EN PERIODOS PROGRAMADOS Y CONTINUOS.</t>
  </si>
  <si>
    <t>Mediante revisiones por la alta dirección y resultados de la misma, así como decisiones tomadas con el fin de dar alcance a la mejora continua.</t>
  </si>
  <si>
    <t>70 - 90%</t>
  </si>
  <si>
    <t>PASOS A SEGUIR:</t>
  </si>
  <si>
    <t>1.</t>
  </si>
  <si>
    <t>2.</t>
  </si>
  <si>
    <t>3.</t>
  </si>
  <si>
    <t>4.</t>
  </si>
  <si>
    <t>Valide los criterios "Qué se va a hacer?, Qué recursos se requerirán?, Quién será el responsable?, Cuándo se finalizará?, Cómo se evaluarán los resultados?, Indicador, peso, cumplimiento  indicado, línea base y meta.</t>
  </si>
  <si>
    <t>5.</t>
  </si>
  <si>
    <t>Valide el cumplimiento del macroproceso que corresponda, en la pestaña "Revisión por la Dirección". Recuerde que allí tendrá una vista total del cumplimiento de sus acciones y por ende del objetivo que impacta.</t>
  </si>
  <si>
    <t>Mediante metodologías de medición, control y seguimiento (Indicadores de Gestión - Mapa de Riesgos).</t>
  </si>
  <si>
    <t>LÍNEA BASE</t>
  </si>
  <si>
    <t>PESO INDICADO</t>
  </si>
  <si>
    <t>CUMPLIMIENTO</t>
  </si>
  <si>
    <t>FAVORABLES</t>
  </si>
  <si>
    <t>ACCIÓN CORRECTIVA</t>
  </si>
  <si>
    <t>RIESGO</t>
  </si>
  <si>
    <t>DICIEMBRE 31 DE 2021.</t>
  </si>
  <si>
    <t>Fecha de emisión:
30/01/2021</t>
  </si>
  <si>
    <t xml:space="preserve">EJE ESTRATÉGICO 1. EFECTIVIDAD EN LA GESTIÓN.
EJE ESTRATÉGICO 2.
CULTURA ORGANIZACIONAL. </t>
  </si>
  <si>
    <t xml:space="preserve">EJE ESTRATÉGICO 1. EFECTIVIDAD EN LA GESTIÓN.
EJE ESTRATÉGICO 2.
CULTURA ORGANIZACIONAL.
EJE ESTRATÉGICO 3.
GESTIÓN DEL CONOCIMIENTO. </t>
  </si>
  <si>
    <t>EJE ESTRATÉGICO 1. EFECTIVIDAD EN LA GESTIÓN.
EJE ESTRATÉGICO 2.
CULTURA ORGANIZACIONAL.
EJE ESTRATÉGICO 4.
GESTIÓN DE INNOVACIÓN TECNOLÓGICA Y DE SERVICIOS.</t>
  </si>
  <si>
    <t>EJE ESTRATÉGICO 1. EFECTIVIDAD EN LA GESTIÓN.
EJE ESTRATÉGICO 2.
CULTURA ORGANIZACIONAL.
EJE ESTRATÉGICO 6. PROTECCIÓN LEGAL CON RESPONSABILIDAD Y COMPROMISO.</t>
  </si>
  <si>
    <t>MACROPROCESO DE GESTIÓN FINANCIERA.</t>
  </si>
  <si>
    <t>MACROPROCESOS DE GESTIÓN DEL TALENTO HUMANO - GESTIÓN DE CONTROL INTERNO.</t>
  </si>
  <si>
    <t>MACROPROCESO DE GESTIÓN AMBIENTAL.</t>
  </si>
  <si>
    <t>Evaluar y mejorar de manera continua el Sistema Integrado de Gestión.</t>
  </si>
  <si>
    <t>Incrementar las ventas, cobertura y mantener el posicionamiento de las marcas.</t>
  </si>
  <si>
    <t xml:space="preserve">
Identificar, capturar y compartir el conocimiento y fortalecer las competencias del capital humano de la Empresa de Licores de Cundinamarca.</t>
  </si>
  <si>
    <t>Fortalecer el uso de los canales de comunicación en procura de satisfacer las necesidades y expectativas de las partes interesadas.</t>
  </si>
  <si>
    <t>Optimizar el uso de la capacidad productiva y operativa de la E.L.C.</t>
  </si>
  <si>
    <t>Realizar acciones para prevenir enfermedades laborales, accidentes e incidentes de trabajo, y para brindar un ambiente sano y seguro tanto a los servidores públicos como a nuestros usuarios. Gestión SST.</t>
  </si>
  <si>
    <t>Fomentar espacios de uso de metodologías de innovación como un factor estratégico clave para la efectividad de la gestión.</t>
  </si>
  <si>
    <t>Fomentar e implementar estrategias de operación y producción más limpia encaminadas a la disminución de la huella de carbono.</t>
  </si>
  <si>
    <t>Disminuir la frecuencia y permanencia de los impactos ambientales negativos generados por la empresa.</t>
  </si>
  <si>
    <t>Aumentar la recuperación de envases y empaques de los productos, para la disminución de los niveles de producción ilegal.</t>
  </si>
  <si>
    <t>Mediante metodologías de medición, control y seguimiento ( Métricas de Seguimiento Objetivos Integrales - Mapa de Riesgos - Plan Anual de Auditorias - Campañas - Capacitaciones - Acompañamientos - Actualización permanente de la documentación del S.I.G.).</t>
  </si>
  <si>
    <t xml:space="preserve">(Salidas producto de revisiones por la dirección / Entradas presentadas para toma de decisiones). </t>
  </si>
  <si>
    <t>Índice de desempeño = ( Grado de avance Plan de Gestión del Conocimiento / Plan de Gestión del Conocimiento proyectado).</t>
  </si>
  <si>
    <t>*Variación del costo - CV = ( Valor Ganado "EV" - Costo Real "AC").
*Índice de desempeño del costo - CPI = (Valor Ganado "EV" / Costo Real "AC".
*Variación del cronograma - SV = ( Valor Ganado "EV" - Valor Planificado "PV").
*Índice de desempeño del cronograma - SPI = ( Valor Ganado "EV" / Valor Planificado "PV").
*Costo real del proyecto - EAC = (( Costo Real "AC" + ( Presupuesto Total "BAC" - Valor Ganado "EV") / (CPI * SPI)).
*Índice del desempeño del trabajo por completar - TCPI = (( Presupuesto Total "BAC" - Valor Ganado "EV") / ( Presupuesto Total "BAC" - Costo Real "AC")).
*Variación de la conclusión - VAC = ( Presupuesto Total "BAC" - Costo real del proyecto "EAC").</t>
  </si>
  <si>
    <t>MACROPROCESOS DE GESTIÓN INNOVACIÓN Y DESARROLLO - GESTIÓN DE PROYECTOS.</t>
  </si>
  <si>
    <t>OBJETIVOS DEL SISTEMA INTEGRADO DE GESTIÓN</t>
  </si>
  <si>
    <t>Pase a la hoja " Matriz de Seguimiento de Objetivos del Sistema Integrado de Gestión".</t>
  </si>
  <si>
    <t>MACROPROCESOS DE GESTIONES DE TALENTO HUMANO - INNOVACIÓN - SISTEMA INTEGRADO DE GESTIÓN - DIRECCIONAMIENTO ESTRATÉGICO.</t>
  </si>
  <si>
    <t>NOVIEMBRE DE 2020.</t>
  </si>
  <si>
    <t>DICIEMBRE DE 2020 - FEBRERO 02 DE 2021.</t>
  </si>
  <si>
    <t xml:space="preserve">
Optimizar los recursos económicos de la Empresa de Licores de Cundinamarca, en beneficio de los Cundinamarqueses y demás partes interesadas.
</t>
  </si>
  <si>
    <t>MACROPROCESOS DE GESTIÓN FINANCIERA - TALENTO HUMANO.</t>
  </si>
  <si>
    <t>(Activos que respaldan el Pasivo Pensional / Pasivo Pensional).</t>
  </si>
  <si>
    <t>(Activo corriente / Pasivo corriente).</t>
  </si>
  <si>
    <t>&gt;=5,86</t>
  </si>
  <si>
    <t>(Variables contractuales cuantitativas año actual / Variables contractuales cuantitativas año anterior).
(Variables contractuales cualitativas año actual / Variables contractuales cualitativas año anterior).</t>
  </si>
  <si>
    <t>(Número de cuentas depuradas / Número de cuentas por depurar).</t>
  </si>
  <si>
    <t>MACROPROCESOS DE GESTIÓN FINANCIERA - ADMINISTRATIVA.</t>
  </si>
  <si>
    <t>(Acciones ejecutadas / Acciones programadas).</t>
  </si>
  <si>
    <t>&gt;=0,5%</t>
  </si>
  <si>
    <t>Generar el seguimiento y evaluación del comportamiento de las ventas de la Empresa de Licores de Cundinamarca - E.L.C.. (sell out).</t>
  </si>
  <si>
    <t>Investigar tendencias y resultados del mercado.</t>
  </si>
  <si>
    <t>Diversificar el  portafolio, a través de alternativas rentables y atractivas tanto para la Empresa de Licores de Cundinamarca como para los clientes.</t>
  </si>
  <si>
    <t xml:space="preserve">MACROPROCESO GESTIÓN COMERCIAL. </t>
  </si>
  <si>
    <t>MACROPROCESOS GESTIÓN COMERCIAL - COMUNICACIONES INSTITUCIONALES.</t>
  </si>
  <si>
    <t>MACROPROCESOS GESTIÓN COMERCIAL - INNOVACIÓN Y DESARROLLO.</t>
  </si>
  <si>
    <t>(Unidades vendidas  unidades convertidas a 750 ml / unidades proyectadas a comercializar convertidas a 750 ml).</t>
  </si>
  <si>
    <t>(Productos lanzados / Lanzamiento de productos proyectados).</t>
  </si>
  <si>
    <t>Fortalecer las relaciones institucionales.</t>
  </si>
  <si>
    <t>Garantizar la buena imagen y el posicionamiento de la compañía frente a los diferentes "Ciudadanos, usuarios y grupos de interés".</t>
  </si>
  <si>
    <t>Mejorar la comunicación con el público interno y externo.</t>
  </si>
  <si>
    <t>MACROPROCESOS GESTIÓN COMERCIAL - COMUNICACIONES INSTITUCIONALES - TIC.</t>
  </si>
  <si>
    <t>(Disposición de datos oportunamente / Disposición de datos requeridos).</t>
  </si>
  <si>
    <t>(Número de seguidores actuales/Número de seguidores proyectados).</t>
  </si>
  <si>
    <t>Realizar la compensación de la huella de carbono previa implementación de la calculadora certificada para su medición.</t>
  </si>
  <si>
    <t>Mediante metodologías de medición, control y seguimiento (Indicadores de Gestión - Mapa de Riesgos- Caracterizaciones del macroproceso).</t>
  </si>
  <si>
    <t>Implementar programa de recuperación de envases y empaques.</t>
  </si>
  <si>
    <t>Incrementar la confianza del consumidor en la calidad de nuestros productos.</t>
  </si>
  <si>
    <t>EJE ESTRATÉGICO 1. EFECTIVIDAD EN LA GESTIÓN.</t>
  </si>
  <si>
    <t>MACROPROCESO DE CONTROL DE CALIDAD.</t>
  </si>
  <si>
    <t xml:space="preserve">
Hacer las inspecciones de todos los materiales (materias primas, insumos, producto en proceso, producto terminado), sujetos a verificación por parte de calidad, con el fin de controlar el cumplimiento de los requisitos aplicables.
</t>
  </si>
  <si>
    <t>De acuerdo con el presupuesto establecido por la gestión del Sistema Integrado de Gestión dispondrá dos rubros presupuestales 2.1.1 - Gastos de Personal - 2.1.2.02.02.008 - Servicios prestados a las empresas y servicios de producción.</t>
  </si>
  <si>
    <t>De acuerdo con el presupuesto establecido por la gestión Control de Calidad dispondrá dos rubros presupuestales 2.1.1 - Gastos de Personal - 2.1.2.02.02.008 - Servicios prestados a las empresas y servicios de producción.</t>
  </si>
  <si>
    <t>De acuerdo con el presupuesto establecido por las gestiones Comercial y Comunicaciones Institucionales dispondrán dos rubros presupuestales 2.1.1 - Gastos de Personal - 2.1.2.02.02.008 - Servicios prestados a las empresas y servicios de producción.</t>
  </si>
  <si>
    <t>De acuerdo con el presupuesto establecido por la gestión de Talento Humano dispondrá dos rubros presupuestales 2.1.1 - Gastos de Personal - 2.1.2.02.02.008 - Servicios prestados a las empresas y servicios de producción.</t>
  </si>
  <si>
    <t>De acuerdo con el presupuesto establecido por la gestión de Innovación y desarrollo dispondrá dos rubros presupuestales 2.1.1 - Gastos de Personal - 2.1.2.02.02.008 - Servicios prestados a las empresas y servicios de producción.</t>
  </si>
  <si>
    <t>De acuerdo con el presupuesto establecido por las Gestión Efectiva de la Producción dispondrán dos rubros presupuestales 2.1.1 - Gastos de Personal - 2.1.2.02.02.008 - Servicios prestados a las empresas y servicios de producción.</t>
  </si>
  <si>
    <t>Mediante metodologías de medición, control y seguimiento (Indicadores de Gestión de la Producción).</t>
  </si>
  <si>
    <t>Planificar de manera efectiva la producción y hacer un control exhaustivo frente al cumplimiento de lo planificado, generando alertas tempranas.</t>
  </si>
  <si>
    <t>Ejecutar y controlar efectivamente el programa de producción de rones, aguardientes y demás productos de la ELC, de acuerdo con el requerimiento del mercado.</t>
  </si>
  <si>
    <t>Planificación de la Producción en Aguardientes, Rones, Alcohol Antiséptico y otros productos de la E.L.C.</t>
  </si>
  <si>
    <t>Ejecutar de la Producción en Aguardientes, Rones, Alcohol Antiséptico y otros productos de la E.L.C.</t>
  </si>
  <si>
    <t>Brindar asesoría Jurídica oportuna, con credibilidad, eficacia.</t>
  </si>
  <si>
    <t>Fortalecer la representación judicial de la Empresa, con una eficaz y oportuna prevención, mitigación y reducción del daño antijurídico.</t>
  </si>
  <si>
    <t>MACROPROCESOS GESTIÓN JURIDÍCA.</t>
  </si>
  <si>
    <t>De acuerdo con el presupuesto establecido por la Gestión Jurídica dispondrá dos rubros presupuestales 2.1.1 - Gastos de Personal - 2.1.2.02.02.008 - Servicios prestados a las empresas y servicios de producción.</t>
  </si>
  <si>
    <t xml:space="preserve">(No. Demandas en curso / No. Procesos con representación). </t>
  </si>
  <si>
    <t>(No. Registros realizados y/o actualizados / No. Registros Solicitados).</t>
  </si>
  <si>
    <t xml:space="preserve">Índice de cumplimiento= (OT cumplidas)/(OT planificadas)* 100
</t>
  </si>
  <si>
    <t>≥80%</t>
  </si>
  <si>
    <t>Mediante los indicadores de estructura, proceso y resultado establecidos por la empresa y reglamentados por el Decreto 1072 de 2015.</t>
  </si>
  <si>
    <t>(Actividades ejecutadas / Actividades programadas).</t>
  </si>
  <si>
    <t>MACROPROCESO GESTIÓN FINANCIERA.</t>
  </si>
  <si>
    <t xml:space="preserve">Involucrar a la Alta Dirección de la Empresa de Licores de Cundinamarca, con el fin de obtener los entregables esperados para el Sistema de Gestión. </t>
  </si>
  <si>
    <t>Mantener cobertura del Pasivo Pensional.</t>
  </si>
  <si>
    <t>Reducir la estructura de costos y/o gastos a través de Políticas de ahorro y austeridad.</t>
  </si>
  <si>
    <t>Generar rentabilidad mediante inversiones de excedentes de liquidez.</t>
  </si>
  <si>
    <t xml:space="preserve">Mantener convenio con una Fiduciaria que le permita a la empresa obtener un ahorro por impuesto a movimientos financieros del 4 x mil.  </t>
  </si>
  <si>
    <t>Renegociar los contratos con los proveedores con el fin de obtener descuentos.</t>
  </si>
  <si>
    <t>Depuración permanente de la información contable.</t>
  </si>
  <si>
    <t>Reducir los gastos de pólizas de seguros.</t>
  </si>
  <si>
    <t xml:space="preserve">
Proceso de diagnóstico de necesidades de capacitación.
</t>
  </si>
  <si>
    <t>Inducción y reinducción a servidores públicos de la Empresa de Licores de Cundinamarca.</t>
  </si>
  <si>
    <t>Evaluación posterior a la capacitación para establecer el grado de conocimiento y comprensión de los temas tratados en las capacitaciones.</t>
  </si>
  <si>
    <t>Elaboración de entregables que apunten a la transmisión del conocimiento e innovación.</t>
  </si>
  <si>
    <t>Mejorar el Índice de Transparencia y Acceso a la información pública.</t>
  </si>
  <si>
    <t xml:space="preserve">
Proceso de diagnóstico de bienestar social e incentivos.
</t>
  </si>
  <si>
    <t>Formulación del programa anual de bienestar social e incentivos.</t>
  </si>
  <si>
    <t>Efectuar control de legalidad de actos administrativos de manera expedita.</t>
  </si>
  <si>
    <t xml:space="preserve">Proteger el portafolio de signos distintivos propiedad de la Empresa, mediante el seguimiento, verificación, registro y/o renovación de los mismos.  </t>
  </si>
  <si>
    <t>Gestionar la etapa de pre factibilidad.</t>
  </si>
  <si>
    <t>Monitorear y controlar el trabajo del proyecto en ejecución.</t>
  </si>
  <si>
    <t>Campañas del Sistema de Gestión = ((Campañas gestionadas / Campañas Programadas)*100).</t>
  </si>
  <si>
    <t>Gestión del Conocimiento = ((Evaluaciones de la eficacia superadas / Colaboradores capacitados)*100).</t>
  </si>
  <si>
    <t>PESO TRIMESTRAL</t>
  </si>
  <si>
    <t>CUMPLIMIENTO PRIMER TRIMESTRE</t>
  </si>
  <si>
    <t>CUMPLIMIENTO SEGUNDO TRIMESTRE</t>
  </si>
  <si>
    <t>CUMPLIMIENTO TERCER TRIMESTRE</t>
  </si>
  <si>
    <t>CUMPLIMIENTO CUARTO  TRIMESTRE</t>
  </si>
  <si>
    <t>CUMPLIMIENTO FRENTE A LA META ANUAL</t>
  </si>
  <si>
    <t>DESVIACIÓN RELATIVA</t>
  </si>
  <si>
    <t>Optimizar los recursos económicos de la Empresa de Licores de Cundinamarca, en beneficio de los Cundinamarqueses y demás partes interesadas.</t>
  </si>
  <si>
    <t>Identificar, capturar y compartir el conocimiento y fortalecer las competencias del capital humano de la Empresa de Licores de Cundinamarca.</t>
  </si>
  <si>
    <t>MACROPROCESO GESTIÓN DE MANTENIMIENTO.</t>
  </si>
  <si>
    <t>OBJETIVOS DEL SISTEMA INTEGRADO DE GESTIÓN (SIG)</t>
  </si>
  <si>
    <t>((Costos y/o gastos del año actual / Costos y/o gastos del año anterior) - 1).</t>
  </si>
  <si>
    <t>&gt;=-32%</t>
  </si>
  <si>
    <t xml:space="preserve">PESO ANUAL </t>
  </si>
  <si>
    <t>Implementar actividades para el manejo adecuado de residuos peligrosos.</t>
  </si>
  <si>
    <t>Implementar programa de ahorro y uso eficiente del agua.</t>
  </si>
  <si>
    <t>De acuerdo con el presupuesto establecido por la entidad se dispondrá el valor correspondiente desde el rubro presupuestal 2.3.2.02.02.009.00.00.00 Proyecto restauración ecológica.</t>
  </si>
  <si>
    <t>De acuerdo con el presupuesto establecido por la entidad se dispondrá el valor correspondiente desde el rubro presupuestal 2.3.2.02.02.009.00.00.00 Proyecto envases y empaques.</t>
  </si>
  <si>
    <t>((Huella de carbono compensada/Total de huella de carbono)*100).</t>
  </si>
  <si>
    <t>((Proveedores de servicios ambientales con calificación excelente o buena/total de proveedores de servicios ambientales)*100).</t>
  </si>
  <si>
    <t>MACROPROCESOS DE GESTIÓN INNOVACIÓN Y DESARROLLO.</t>
  </si>
  <si>
    <t>&gt;=22%</t>
  </si>
  <si>
    <t>(Necesidades de capacitación gestionadas / Necesidades de capacitación identificadas).</t>
  </si>
  <si>
    <t>(Servidores Públicos Asistentes / Servidores Públicos Programados).</t>
  </si>
  <si>
    <t xml:space="preserve">(Evaluaciones superadas / Evaluaciones practicadas). </t>
  </si>
  <si>
    <t>(Número de Criterios en cumplimiento/Número de Criterios Establecidos en la Ley 1712 del 06 de marzo de 2014).</t>
  </si>
  <si>
    <t>(Necesidades de bienestar social e incentivos gestionadas / Necesidades de bienestar social e incentivos identificadas).</t>
  </si>
  <si>
    <t xml:space="preserve">Lea el instructivo. </t>
  </si>
  <si>
    <t>Elaborar Plan de Gestión del Conocimiento.</t>
  </si>
  <si>
    <t>Elaborar Plan de Innovación Organizacional.</t>
  </si>
  <si>
    <t>Elaborar Plan de Innovación y Desarrollo de nuevos productos.</t>
  </si>
  <si>
    <t>((Consumo mes actual-consumo mes anterior)/consumo mes anterior) / Meta*100).</t>
  </si>
  <si>
    <t>((Envases y empaques recuperados certificados en 2021/ Envases y empaques puestos en el mercado 2018)*100).</t>
  </si>
  <si>
    <t>Gestionar recursos de forma eficiente.</t>
  </si>
  <si>
    <t>MACROPROCESO DE GESTIÓN DE TALENTO HUMANO.</t>
  </si>
  <si>
    <t>MACROPROCESO GESTIÓN TÉCNICA - GESTIÓN EFECTIVA DE LA PRODUCCIÓN.</t>
  </si>
  <si>
    <t>MTTR</t>
  </si>
  <si>
    <t>MTBF</t>
  </si>
  <si>
    <t>30 minutos</t>
  </si>
  <si>
    <t>1140 minutos</t>
  </si>
  <si>
    <t xml:space="preserve">Aumentar la confiabilidad del "Plan General de Aseguramiento Metrológico". </t>
  </si>
  <si>
    <t>Aumentar la confiabilidad de maquinaria y equipos de acuerdo al "Plan de Mantenimiento Preventivo".</t>
  </si>
  <si>
    <t>(Número de equipos encontrados fuera de especificación y ajustados / Número total de equipos bajo responsabilidad de la gestión de metrología).</t>
  </si>
  <si>
    <t>Aumentar la confiabilidad de la infraestructura "Plan de Mantenimiento Preventivo".</t>
  </si>
  <si>
    <t>MACROPROCESOS DE GESTIÓN ADMINISTRATIVA  - SEGURIDAD Y SALUD EN EL TRABAJO.</t>
  </si>
  <si>
    <t>MACROPROCESOS DE GESTIÓN DEL TALENTO HUMANO - SEGURIDAD Y SALUD EN EL TRABAJO.</t>
  </si>
  <si>
    <t>De acuerdo con el presupuesto establecido por la entidad se dispondrá el valor correspondiente desde el rubro presupuestal 2.3.2.01.01 Activos Fijos.</t>
  </si>
  <si>
    <t>MACROPROCESO DE GESTIÓN DE TECNOLOGÍAS DE LA INFORMACIÓN Y COMUNICACIONES (TIC).</t>
  </si>
  <si>
    <t>(Capacitaciones ejecutadas / Capacitaciones programadas).</t>
  </si>
  <si>
    <t>De acuerdo con el presupuesto establecido por la gestión de Tecnologías de la información y comunicaciones se dispondrán los siguientes rubros presupuestales 2.3.2.01.01.001.03 - Otras estructuras - 2.3.2.01.003.03 - Maquinaria de oficina, contabilidad e informática - 2.3.2.02.01.003 - Otros bienes transportables (excepto productos metálicos, maquinaria y equipo).</t>
  </si>
  <si>
    <t>Aumentar la confiabilidad de la infraestructura tecnológica "Plan de Mantenimiento Preventivo y evolutivo".</t>
  </si>
  <si>
    <t>Garantizar la efectividad en la solución de los incidentes tecnológicos y de comunicaciones.</t>
  </si>
  <si>
    <t xml:space="preserve">
Eficiencia del Proceso = (( Número total de días estimados / Número real de días) *100).
</t>
  </si>
  <si>
    <t>(Respuestas Oportunas emitidas / Respuestas requeridas).</t>
  </si>
  <si>
    <t xml:space="preserve">(Revisiones efectuadas / Revisiones  Programadas). </t>
  </si>
  <si>
    <t xml:space="preserve">
Eficiencia del Proceso = ((Número total de días estimados / Número real de días) *100).
</t>
  </si>
  <si>
    <t xml:space="preserve">
Eficiencia del Proceso = ((Número total de días estimados / Número real de días) *100).
</t>
  </si>
  <si>
    <t>(Cantidad de Investigaciones de mercado realizadas/ Cantidad de investigaciones proyectadas).</t>
  </si>
  <si>
    <t>&gt;100%</t>
  </si>
  <si>
    <t>Ejecución del programa anual de capacitación institucional.</t>
  </si>
  <si>
    <t>Índice de cumplimiento= ((OT cumplidas)/(OT planificadas)* 100).
.</t>
  </si>
  <si>
    <t>Eficiencia en el proceso= ((Número de días estimados / Número de días real)*100)</t>
  </si>
  <si>
    <t>Indicador de Incidentes=((Número de incidentes Negativos / Incidentes totales)*100).</t>
  </si>
  <si>
    <t>&gt;=5%</t>
  </si>
  <si>
    <t>(Unidades comercializadas "sell out" en unidades convertidas a 750 ml  / unidades  comercializadas "sell out" en unidades convertidas a 750 mlt periodo anterior).</t>
  </si>
  <si>
    <t>Nivel de relevancia y representatividad en los objetivos de la entidad = ((Total de riesgos identificados - Total riesgos controlados).</t>
  </si>
  <si>
    <t>&lt;=10%</t>
  </si>
  <si>
    <t>(Gestiones identificadas y actualizadas en la matriz de peligros/ Total de gestiones (productivas y administrativas) establecidas).</t>
  </si>
  <si>
    <t>(Servidores Públicos Asistentes / Servidores Públicos Programados) "Buenas prácticas de manufactura".</t>
  </si>
  <si>
    <t>(Servidores Públicos Asistentes / Servidores Públicos Programados)"Seguridad vial - LEY 1503, DECRETO  2851".</t>
  </si>
  <si>
    <t>(Servidores Públicos Asistentes / Servidores Públicos Programados)"Capacitación en alturas".</t>
  </si>
  <si>
    <t xml:space="preserve">(Servidores Públicos Asistentes / Servidores Públicos Programados)"Capacitación en montacargas". </t>
  </si>
  <si>
    <t>(Servidores Públicos Asistentes / Servidores Públicos Programados "Capacitación en espacios confinados".</t>
  </si>
  <si>
    <t>(Servidores Públicos Asistentes / Servidores Públicos Programados)"Inducción"</t>
  </si>
  <si>
    <t>(Servidores Públicos Asistentes / Servidores Públicos Programados)"Copasst".</t>
  </si>
  <si>
    <t>(Servidores Públicos Asistentes / Servidores Públicos Programados)"Convivencia laboral".</t>
  </si>
  <si>
    <t xml:space="preserve">(Servidores Públicos Asistentes / Servidores Públicos Programados)"Gestión documental". </t>
  </si>
  <si>
    <t xml:space="preserve">(Servidores Públicos Asistentes / Servidores Públicos Programados)"Selección y calificación de evaluadores sensoriales". </t>
  </si>
  <si>
    <t xml:space="preserve">(Servidores Públicos Asistentes / Servidores Públicos Programados)"Excel y power point". </t>
  </si>
  <si>
    <t xml:space="preserve">(Servidores Públicos Asistentes / Servidores Públicos Programados)"Sistema de Gestión Ambiental". </t>
  </si>
  <si>
    <t>(Servidores Públicos Asistentes / Servidores Públicos Programados)"Trabajo en equipo y liderazgo".</t>
  </si>
  <si>
    <t>(Servidores Públicos Asistentes / Servidores Públicos Programados)"Presupuesto para Directivos".</t>
  </si>
  <si>
    <t>(Servidores Públicos Asistentes / Servidores Públicos Programados)"SAP".</t>
  </si>
  <si>
    <t>(Servidores Públicos Asistentes / Servidores Públicos Programados)"Derecho procesal".</t>
  </si>
  <si>
    <t xml:space="preserve">(Servidores Públicos Asistentes / Servidores Públicos Programados)"Propiedad intelectual". </t>
  </si>
  <si>
    <t xml:space="preserve">(Servidores Públicos Asistentes / Servidores Públicos Programados)"Cobro coactivo". </t>
  </si>
  <si>
    <t>(Servidores Públicos Asistentes / Servidores Públicos Programados)"Modelo Integrado de Planeación y Gestión (MIPG)".</t>
  </si>
  <si>
    <t>&gt;=100%</t>
  </si>
  <si>
    <t xml:space="preserve">Eficiencia del Proceso = ((Número total de días estimados / Número real de días) *100)
Vinculación  - Procedimiento de Contratación Trabajadores Oficiales, Procedimiento de Inducción y Reinducción </t>
  </si>
  <si>
    <t>Eficiencia del Proceso = ((Número total de días estimados / Número real de días) *100) 
Novedades de Nómina</t>
  </si>
  <si>
    <t>((Residuos peligrosos generados en periodo actual-Residuos peligrosos generados en periodo anterior)/Residuos peligrosos generados en periodo anterior)*100).</t>
  </si>
  <si>
    <t>MATRIZ DE SEGUIMIENTO DE OBJETIVOS DEL SISTEMA INTEGRADO DE GESTIÓN - 31 DE AGOSTO DE 2021</t>
  </si>
  <si>
    <t xml:space="preserve">Página:
2 de 2 </t>
  </si>
  <si>
    <t>Código :  PE020300.F04-3</t>
  </si>
  <si>
    <t>Versión :3</t>
  </si>
  <si>
    <t>EJE ESTRATÉGICO 1. EFECTIVIDAD EN LA GESTIÓN.
EJE ESTRATÉGICO 2.
CULTURA ORGANIZACIONAL.
EJE ESTRATÉGICO 5. 
MANEJO AMBIENTAL SOSTENIBLE.</t>
  </si>
  <si>
    <t xml:space="preserve">(Número de lotes de materiales inspeccionados en el período *100 /
Número de materiales ingresados en el período. </t>
  </si>
  <si>
    <t>Eficiencia del Sistema = ((Número total de días estimados / Número real de días) *100).</t>
  </si>
  <si>
    <t>Eficiencia del Proceso = ((Número total de días estimados / Número real de días) *100).</t>
  </si>
  <si>
    <t xml:space="preserve">Establecer mecanismos de mejora continua, de acuerdo con las NTC ISO 9001:2015 / 14001:2015 / 45001:2018.  </t>
  </si>
  <si>
    <t>Actualización permanente de la documentación del S.I.G. = ((Controles de cambios gestionados / Controles de cambios solicitados)*100).</t>
  </si>
  <si>
    <r>
      <rPr>
        <sz val="20"/>
        <color rgb="FF000000"/>
        <rFont val="Calibri"/>
        <family val="2"/>
      </rPr>
      <t>≥</t>
    </r>
    <r>
      <rPr>
        <sz val="20"/>
        <color rgb="FF000000"/>
        <rFont val="Arial"/>
        <family val="2"/>
      </rPr>
      <t>80%</t>
    </r>
  </si>
  <si>
    <t>Eficiencia del Proceso = ((Número total de días estimados / Número real de días) *100)
Historias Laborales - Procedimiento expedición de certificaciones laborales, Procedimiento para la Emisión de Bonos de Pensional.</t>
  </si>
  <si>
    <t xml:space="preserve">Eficiencia del Proceso = ((Número total de días estimados / Número real de días) *100)
Bienestar Social Laboral - Procedimiento Formulación, programación, ejecución y evaluación del Plan anual de Bienestar Social Laboral.
</t>
  </si>
  <si>
    <t xml:space="preserve">Eficiencia del Proceso = ((Número total de días estimados / Número real de días) *100)   
Capacitación Institucional - Procedimiento Formulación, programación, ejecución y evaluación del plan de capacitación Institucional.
</t>
  </si>
  <si>
    <t xml:space="preserve">Eficiencia del Proceso = ((Número total de días estimados / Número real de días) *100)  </t>
  </si>
  <si>
    <t xml:space="preserve">Planificar de manera optima los recursos de MOD, maquinaria, insumos y materias primas necesarios para cumplir eficiente y eficazmente el plan de ventas.                                                                                                                                                                                                           </t>
  </si>
  <si>
    <t>Eficiencia del Proceso = ((Términos legales / Número real de días) *100).</t>
  </si>
  <si>
    <t>Crecer en el territorio colombiano, incrementando las ventas de manera progresiva e incrementar las exportaciones, mediante alianzas estratégicas a nivel mundial, crecer en el mercado de alcohol al 96%, crecer en el mercado ONLINE, mediante herramientas interactivas que permitan dicho crecimiento, generar valor y empatía con nuestras marcas al consumidor final.</t>
  </si>
  <si>
    <t>(Unidades comercializadas "sell out" en unidades convertidas a 750 ml  / unidades  comercializadas "sell out" en unidades convertidas a 750 ml periodo anterior).</t>
  </si>
  <si>
    <t>Eficiencia del Proceso = (( Número total de días estimados / Número real de días) *100).</t>
  </si>
  <si>
    <t>Índice de cumplimiento= ((OT cumplidas)/(OT planificadas)* 100).</t>
  </si>
  <si>
    <t>Índice de cumplimiento= (OT cumplidas)/(OT planificadas)* 100</t>
  </si>
  <si>
    <t xml:space="preserve">Eficiencia del Proceso = ((Número total de días estimados / Número real de días) *100)
Historias Laborales - Procedimiento expedición de certificaciones laborales, Procedimiento para la Emisión de Bonos de Pensional </t>
  </si>
  <si>
    <t xml:space="preserve">Eficiencia del Proceso = ((Número total de días estimados / Número real de días) *100)
Bienestar Social Laboral - Procedimiento Formulación, programación, ejecución y evaluación del Plan anual de Bienestar Social Laboral </t>
  </si>
  <si>
    <t>Eficiencia del Proceso = ((Número total de días estimados / Número real de días) *100)   
Capacitación Institucional - Procedimiento Formulación, programación, ejecución y evaluación del plan de capacitación Institucional</t>
  </si>
  <si>
    <t xml:space="preserve">Eficiencia del Proceso = ((Número total de días estimados / Número real de días) *100) </t>
  </si>
  <si>
    <t xml:space="preserve">
Eficiencia del Proceso = (( Número total de días estimados / Número real de días) *100).</t>
  </si>
  <si>
    <t>¿QUÉ SE VA A HACER?</t>
  </si>
  <si>
    <t>¿QUÉ RECURSOS SE REQUERIRÁN?</t>
  </si>
  <si>
    <t>¿QUIÉN SERÁ EL RESPONSABLE?</t>
  </si>
  <si>
    <t>¿CUÁNDO SE FINALIZARÁ?</t>
  </si>
  <si>
    <t>¿CÓMO SE AVALUARÁN LOS RESULTADOS?</t>
  </si>
  <si>
    <t>REQUISITO 6.2.1. / 6.2.2.NORMAS TÉCNICAS COLOMBIANAS ISO  9001:2015 / 14001: 2015 / 45001:2018</t>
  </si>
  <si>
    <t>Ubique el macroproceso que le corresponda.</t>
  </si>
  <si>
    <t>Histórico.</t>
  </si>
  <si>
    <t>De acuerdo con el presupuesto establecido por la gestión del área de mantenimiento perteneciente a la subgerencia técnica, se  dispondrán dos rubros presupuestales: 2.1.5.01.04.000.00.00.00 - productos metálicos maquinaria - 2.1.5.02.08.000.00.00.00- Servicios prestados a las empresas y servicios de producción.</t>
  </si>
  <si>
    <t>(Cantidad estimada de producto no conforme por ajuste tardío / Número total de entregado al cliente).</t>
  </si>
  <si>
    <t xml:space="preserve">De acuerdo con el presupuesto establecido por la entidad se dispondrá un rubro presupuestal - A23104 - Impuestos a las transacciones financieras - Se genera ahorro en lo que respecta al GMF, disminuyendo la carga impositiva.
El objetivo estratégico se fundamentará en dos grandes componentes: a) Una estructura de costos y gastos eficiente y austera, b) el  , las cuales se reflejarán en los ingresos monetarios. </t>
  </si>
  <si>
    <t xml:space="preserve">(Transferencias realizadas vía Fiduciaria * 4x1000  / Total de gastos). </t>
  </si>
  <si>
    <t xml:space="preserve">Eficiencia del Proceso = ((Número total de días estimados / Número real de días) *100)
Beneficios Convencionales - Procedimiento Auxilios y Subsidios educativos para trabajadores oficiales Convencionados y pensionados 
</t>
  </si>
  <si>
    <t>Eficiencia del Proceso = ((Número total de días estimados / Número real de días) *100)
Nómina y Prestaciones Sociales - Procedimiento de Reconocimiento y Legalización de Cesantías, Procedimiento de Reconocimiento y Legalización de Comisiones y Servicios, Procedimiento de Reconocimiento y Legalización de Vacaciones, Procedimiento Ingreso de novedades a nómina, Procedimiento Liquidación de Aportes a la Seguridad Social.</t>
  </si>
  <si>
    <t>(Servidores Públicos Asistentes / Servidores Públicos Programados)"Capacitación brigada de emergencia - Respuesta a emergencias de productos químicos".</t>
  </si>
  <si>
    <t>(Inducciones gestionadas / Inducciones solicitadas)
(Reinducciones ejecutados de acuerdo con los términos establecidos /  Reinducciones programadas de acuerdo con los términos establecidos).</t>
  </si>
  <si>
    <t>(Política de Gestión del Conocimiento Desarrollada / # de Políticas Propuestas).</t>
  </si>
  <si>
    <t xml:space="preserve">De acuerdo con el presupuesto establecido para la gestión del área de SST, se disponen los siguientes rubros: 
2.1.2.02.01.002 Productos alimenticios, bebidas y tabaco; textiles, prendas de vestir y productos de cuero.
2.1.2.02.01.003 Otros bienes transportables (excepto productos metálicos, maquinaria y equipo).
2.1.2.02.01.004 Productos metálicos y paquetes de software.
2.1.2.02.02.008 Servicios prestados a las empresas y servicios de producción.
2.1.3.07.02.031 Programa de salud ocupacional (no de pensiones).
</t>
  </si>
  <si>
    <t>De acuerdo con el presupuesto establecido para la gestión administrativa, se disponen el siguiente rubro: 
2.1.2.02.02.005. Servicios de la construcción.</t>
  </si>
  <si>
    <t>Identificar los peligros en todos los procesos (administrativos - productivos), evaluar y valorar los riesgos y determinar los respectivos controles.
Priorizar los peligros según lo indicado por el Procedimiento MPA0302000000.P06-2 e implementar las medidas de intervención generadas por medio de la  Matriz de identificación de peligros, evaluación y valoración de riesgos y determinación de controles (MPA0302000000.F12-2) tendientes a eliminar o en su defecto controlar los riesgos.</t>
  </si>
  <si>
    <t xml:space="preserve">De acuerdo con el presupuesto establecido para la gestión del área de SST,se disponen los siguientes rubros: 
2.1.2.02.01.002 Productos alimenticios, bebidas y tabaco; textiles, prendas de vestir y productos de cuero
2.1.2.02.01.003 Otros bienes transportables (excepto productos metálicos, maquinaria y equipo)
2.1.2.02.01.004 Productos metálicos y paquetes de software
2.1.2.02.02.008 Servicios prestados a las empresas y servicios de producción
2.1.3.07.02.031 Programa de salud ocupacional (no de pensiones).
</t>
  </si>
  <si>
    <t xml:space="preserve">Cumplir con el plan de capacitación en Seguridad y Salud en el Trabajo establecido para el año 2021. </t>
  </si>
  <si>
    <t xml:space="preserve">De acuerdo con el presupuesto establecido para la gestión del área de SST, se disponen los siguientes rubros: 
2.1.2.02.01.002 Productos alimenticios, bebidas y tabaco; textiles, prendas de vestir y productos de cuero
2.1.2.02.01.003 Otros bienes transportables (excepto productos metálicos, maquinaria y equipo)
2.1.2.02.01.004 Productos metálicos y paquetes de software
2.1.2.02.02.008 Servicios prestados a las empresas y servicios de producción
2.1.3.07.02.031 Programa de salud ocupacional (no de pensiones).
</t>
  </si>
  <si>
    <t>Cumplir con el Plan de Trabajo resultante de la evaluación de estándares mínimos y auditoria del Sistema de Gestión de Seguridad y Salud en el Trabajo.</t>
  </si>
  <si>
    <t>(Grado de satisfacción generado /grado de satisfacción proyectado).</t>
  </si>
  <si>
    <t>(Actividades generadas / Actividades proyectadas).</t>
  </si>
  <si>
    <t>Mejorar la comunicación de las marcas NECTAR y RON SANTAFE a través de las redes sociales.</t>
  </si>
  <si>
    <t>Histórico</t>
  </si>
  <si>
    <t>(Actos Administrativos radicados para control / Controles de legalidad realizados).</t>
  </si>
  <si>
    <t>Efectuar una revisión periódica de la normatividad expedida a nivel nacional y departamental, con el fin de validar el debido cumplimiento de las mismas.</t>
  </si>
  <si>
    <t>Garantizar el debido cumplimientos de los términos establecidos por la normatividad vigente en materia de Servicio y Atención al Ciudadano - SAC.</t>
  </si>
  <si>
    <t>Controlar el porcentaje de incidentes significativos causados por riesgos no identificados por el proceso de evaluación de riesgos.</t>
  </si>
  <si>
    <t>Índice de desempeño = ( Grado de avance Plan de Innovación Organizacional / Plan de Innovación Organizacional proyectado).</t>
  </si>
  <si>
    <t>Índice de desempeño = ( Grado de avance Plan de Innovación y desarrollo de nuevos productos / Plan de Innovación y desarrollo de nuevos productos proyectado).</t>
  </si>
  <si>
    <t>*Criterios técnicos en aplicación / Criterios técnicos requeridos para aprobación.
*Tasa Interna de Retorno mayor a la Tasa de Oportunidad / Tasa Interna de oportunidad.</t>
  </si>
  <si>
    <t xml:space="preserve">Realizar la inclusión de clausulas ambientales dentro de la adquisición y suministro de materiales, insumos, materias primas y servicios. </t>
  </si>
  <si>
    <t xml:space="preserve">De acuerdo con el presupuesto establecido en la empresa, se dispondrán el siguiente rubro para el cumplimiento de las actividades: 2.1.2 adquisición de bienes y servicios. </t>
  </si>
  <si>
    <t>Aumentar la capacidad de autogeneración de energía limpia por medio de la ampliación de la planta solar fotovoltaica.</t>
  </si>
  <si>
    <t>((Energía consumida por paneles solares/ Total de energía consumida)*100).</t>
  </si>
  <si>
    <t>De acuerdo con el presupuesto establecido en la empresa, se dispondrán los siguientes rubros para el cumplimiento de las actividades: 2.1.2 adquisición de bienes y servicios,  2.3.2.02.02.009 Servicios para la comunidad, sociales y personales, 2.3.2.02.01.003 Otros bienes transportables.</t>
  </si>
  <si>
    <t xml:space="preserve">Eficiencia del Proceso = ((Número total de días estimados / Número real de días) *100)
Beneficios Convencionales - Procedimiento Auxilios y Subsidios educativos para trabajadores oficiales Convencionados y pensionados </t>
  </si>
  <si>
    <t>Eficiencia del Proceso = ((Número total de días estimados / Número real de días) *100)
Nómina y Prestaciones Sociales - Procedimiento de Reconocimiento y Legalización de Cesantías, Procedimiento de Reconocimiento y Legalización de Comisiones y Servicios, Procedimiento de Reconocimiento y Legalización de Vacaciones, Procedimiento Ingreso de novedades a nómina, Procedimiento Liquidación de Aportes a la Seguridad Social</t>
  </si>
  <si>
    <t>De acuerdo con el presupuesto establecido para la gestión del área de SST, se disponen los siguientes rubros: 
2.1.2.02.01.002 Productos alimenticios, bebidas y tabaco; textiles, prendas de vestir y productos de cuero.
2.1.2.02.01.003 Otros bienes transportables (excepto productos metálicos, maquinaria y equipo).
2.1.2.02.01.004 Productos metálicos y paquetes de software.
2.1.2.02.02.008 Servicios prestados a las empresas y servicios de producción.
2.1.3.07.02.031 Programa de salud ocupacional (no de pensiones).</t>
  </si>
  <si>
    <t>De acuerdo con el presupuesto establecido para la gestión del área de SST, se disponen los siguientes rubros: 
2.1.2.02.01.002 Productos alimenticios, bebidas y tabaco; textiles, prendas de vestir y productos de cuero
2.1.2.02.01.003 Otros bienes transportables (excepto productos metálicos, maquinaria y equipo)
2.1.2.02.01.004 Productos metálicos y paquetes de software
2.1.2.02.02.008 Servicios prestados a las empresas y servicios de producción
2.1.3.07.02.031 Programa de salud ocupacional (no de pensiones).</t>
  </si>
  <si>
    <t xml:space="preserve">
Optimizar los recursos económicos de la Empresa de Licores de Cundinamarca, en beneficio de los Cundinamarqueses y demás partes interesadas.</t>
  </si>
  <si>
    <t>(Número total de cápsulas del conocimiento que se cargan en la plataforma en el periodo actual / Número total de cápsulas del conocimiento que se cargaron en la plataforma en el periodo anterior).</t>
  </si>
  <si>
    <t>78 solicitudes</t>
  </si>
  <si>
    <t xml:space="preserve">23 dias estimados </t>
  </si>
  <si>
    <t>La calificación de las 2 encuestas es de 5</t>
  </si>
  <si>
    <t>MATRIZ DE SEGUIMIENTO DE OBJETIVOS DEL SISTEMA INTEGRADO DE GESTIÓN - 30 DE SEPTIEMBRE DE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</si>
</sst>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 #,##0_-;_-* &quot;-&quot;_-;_-@_-"/>
    <numFmt numFmtId="165" formatCode="_(* #,##0.0_);_(* \(#,##0.0\);_(* &quot;-&quot;??_);_(@_)"/>
    <numFmt numFmtId="166" formatCode="_(* #,##0.0_);_(* \(#,##0.0\);_(* &quot;-&quot;?_);_(@_)"/>
    <numFmt numFmtId="167" formatCode="0.000"/>
    <numFmt numFmtId="168" formatCode="_-* #,##0_-;\-* #,##0_-;_-* &quot;-&quot;??_-;_-@_-"/>
  </numFmts>
  <fonts count="31" x14ac:knownFonts="1">
    <font>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4"/>
      <color theme="1"/>
      <name val="Arial"/>
      <family val="2"/>
    </font>
    <font>
      <b/>
      <sz val="14"/>
      <color theme="1"/>
      <name val="Arial"/>
      <family val="2"/>
    </font>
    <font>
      <sz val="14"/>
      <color theme="0"/>
      <name val="Arial"/>
      <family val="2"/>
    </font>
    <font>
      <b/>
      <sz val="20"/>
      <color theme="1"/>
      <name val="Arial"/>
      <family val="2"/>
    </font>
    <font>
      <b/>
      <sz val="18"/>
      <color theme="1"/>
      <name val="Arial"/>
      <family val="2"/>
    </font>
    <font>
      <b/>
      <sz val="11"/>
      <color theme="1"/>
      <name val="Calibri"/>
      <family val="2"/>
      <scheme val="minor"/>
    </font>
    <font>
      <sz val="11"/>
      <color rgb="FF000000"/>
      <name val="Calibri"/>
      <family val="2"/>
    </font>
    <font>
      <b/>
      <sz val="14"/>
      <color theme="0"/>
      <name val="Arial"/>
      <family val="2"/>
    </font>
    <font>
      <sz val="11"/>
      <color theme="0"/>
      <name val="Calibri"/>
      <family val="2"/>
      <scheme val="minor"/>
    </font>
    <font>
      <sz val="11"/>
      <color theme="1"/>
      <name val="Arial"/>
      <family val="2"/>
    </font>
    <font>
      <u/>
      <sz val="11"/>
      <color theme="10"/>
      <name val="Calibri"/>
      <family val="2"/>
      <scheme val="minor"/>
    </font>
    <font>
      <sz val="20"/>
      <color theme="1"/>
      <name val="Arial"/>
      <family val="2"/>
    </font>
    <font>
      <sz val="20"/>
      <color rgb="FF000000"/>
      <name val="Arial"/>
      <family val="2"/>
    </font>
    <font>
      <sz val="20"/>
      <color theme="0"/>
      <name val="Arial"/>
      <family val="2"/>
    </font>
    <font>
      <b/>
      <sz val="26"/>
      <color theme="1"/>
      <name val="Arial"/>
      <family val="2"/>
    </font>
    <font>
      <b/>
      <sz val="22"/>
      <color theme="1"/>
      <name val="Arial"/>
      <family val="2"/>
    </font>
    <font>
      <b/>
      <sz val="28"/>
      <color theme="1"/>
      <name val="Arial"/>
      <family val="2"/>
    </font>
    <font>
      <sz val="11"/>
      <color indexed="81"/>
      <name val="Tahoma"/>
      <family val="2"/>
    </font>
    <font>
      <sz val="20"/>
      <name val="Arial"/>
      <family val="2"/>
    </font>
    <font>
      <sz val="20"/>
      <color theme="0" tint="-4.9989318521683403E-2"/>
      <name val="Arial"/>
      <family val="2"/>
    </font>
    <font>
      <sz val="20"/>
      <color rgb="FF000000"/>
      <name val="Calibri"/>
      <family val="2"/>
    </font>
    <font>
      <sz val="24"/>
      <color theme="1"/>
      <name val="Arial"/>
      <family val="2"/>
    </font>
    <font>
      <b/>
      <sz val="24"/>
      <color theme="1"/>
      <name val="Arial"/>
      <family val="2"/>
    </font>
    <font>
      <sz val="12"/>
      <color indexed="81"/>
      <name val="Arial"/>
      <family val="2"/>
    </font>
    <font>
      <sz val="14"/>
      <color rgb="FF000000"/>
      <name val="Arial"/>
      <family val="2"/>
    </font>
    <font>
      <sz val="14"/>
      <color rgb="FFF2F2F2"/>
      <name val="Arial"/>
      <family val="2"/>
    </font>
    <font>
      <sz val="11"/>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7" tint="-0.249977111117893"/>
        <bgColor indexed="64"/>
      </patternFill>
    </fill>
    <fill>
      <patternFill patternType="solid">
        <fgColor theme="0"/>
        <bgColor rgb="FFE2EFD9"/>
      </patternFill>
    </fill>
    <fill>
      <patternFill patternType="solid">
        <fgColor theme="0"/>
        <bgColor rgb="FFFFFF00"/>
      </patternFill>
    </fill>
    <fill>
      <patternFill patternType="solid">
        <fgColor theme="7"/>
      </patternFill>
    </fill>
    <fill>
      <patternFill patternType="solid">
        <fgColor rgb="FF92D050"/>
        <bgColor indexed="64"/>
      </patternFill>
    </fill>
    <fill>
      <patternFill patternType="solid">
        <fgColor rgb="FFE2EFD9"/>
        <bgColor rgb="FFE2EFD9"/>
      </patternFill>
    </fill>
    <fill>
      <patternFill patternType="solid">
        <fgColor rgb="FFFF0000"/>
        <bgColor indexed="64"/>
      </patternFill>
    </fill>
    <fill>
      <patternFill patternType="solid">
        <fgColor theme="0"/>
        <bgColor rgb="FFD9E2F3"/>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bottom style="medium">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hair">
        <color auto="1"/>
      </left>
      <right/>
      <top style="hair">
        <color auto="1"/>
      </top>
      <bottom style="double">
        <color auto="1"/>
      </bottom>
      <diagonal/>
    </border>
    <border>
      <left/>
      <right style="hair">
        <color auto="1"/>
      </right>
      <top style="hair">
        <color auto="1"/>
      </top>
      <bottom style="double">
        <color auto="1"/>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style="medium">
        <color rgb="FF000000"/>
      </right>
      <top/>
      <bottom/>
      <diagonal/>
    </border>
    <border>
      <left style="medium">
        <color indexed="64"/>
      </left>
      <right style="medium">
        <color indexed="64"/>
      </right>
      <top style="medium">
        <color indexed="64"/>
      </top>
      <bottom style="hair">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7">
    <xf numFmtId="0" fontId="0" fillId="0" borderId="0"/>
    <xf numFmtId="43"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0" fontId="14" fillId="0" borderId="0" applyNumberFormat="0" applyFill="0" applyBorder="0" applyAlignment="0" applyProtection="0"/>
    <xf numFmtId="0" fontId="12" fillId="6" borderId="0" applyNumberFormat="0" applyBorder="0" applyAlignment="0" applyProtection="0"/>
  </cellStyleXfs>
  <cellXfs count="390">
    <xf numFmtId="0" fontId="0" fillId="0" borderId="0" xfId="0"/>
    <xf numFmtId="0" fontId="0" fillId="0" borderId="0" xfId="0" applyFont="1"/>
    <xf numFmtId="0" fontId="12" fillId="0" borderId="0" xfId="0" applyFont="1"/>
    <xf numFmtId="9" fontId="0" fillId="0" borderId="0" xfId="2" applyFont="1"/>
    <xf numFmtId="10" fontId="0" fillId="0" borderId="0" xfId="2" applyNumberFormat="1" applyFont="1"/>
    <xf numFmtId="0" fontId="13" fillId="0" borderId="0" xfId="0" applyFont="1"/>
    <xf numFmtId="9" fontId="13" fillId="0" borderId="25" xfId="2" applyFont="1" applyBorder="1" applyAlignment="1">
      <alignment horizontal="center" vertical="center" wrapText="1"/>
    </xf>
    <xf numFmtId="10" fontId="13" fillId="0" borderId="25" xfId="2" applyNumberFormat="1" applyFont="1" applyBorder="1" applyAlignment="1">
      <alignment horizontal="center" vertical="center"/>
    </xf>
    <xf numFmtId="9" fontId="13" fillId="0" borderId="25" xfId="2" applyFont="1" applyBorder="1" applyAlignment="1">
      <alignment horizontal="center" vertical="center"/>
    </xf>
    <xf numFmtId="0" fontId="13" fillId="0" borderId="25" xfId="0" applyFont="1" applyBorder="1"/>
    <xf numFmtId="49" fontId="13" fillId="0" borderId="30" xfId="0" applyNumberFormat="1" applyFont="1" applyBorder="1" applyAlignment="1">
      <alignment vertical="center" wrapText="1"/>
    </xf>
    <xf numFmtId="0" fontId="13" fillId="0" borderId="31" xfId="0" applyFont="1" applyBorder="1"/>
    <xf numFmtId="49" fontId="13" fillId="0" borderId="32" xfId="0" applyNumberFormat="1" applyFont="1" applyBorder="1" applyAlignment="1">
      <alignment vertical="center" wrapText="1"/>
    </xf>
    <xf numFmtId="9" fontId="13" fillId="0" borderId="33" xfId="2" applyFont="1" applyBorder="1" applyAlignment="1">
      <alignment horizontal="center" vertical="center" wrapText="1"/>
    </xf>
    <xf numFmtId="10" fontId="13" fillId="0" borderId="33" xfId="2" applyNumberFormat="1" applyFont="1" applyBorder="1" applyAlignment="1">
      <alignment horizontal="center" vertical="center"/>
    </xf>
    <xf numFmtId="0" fontId="13" fillId="0" borderId="33" xfId="0" applyFont="1" applyBorder="1"/>
    <xf numFmtId="0" fontId="13" fillId="0" borderId="34" xfId="0" applyFont="1" applyBorder="1"/>
    <xf numFmtId="10" fontId="13" fillId="2" borderId="25" xfId="2" applyNumberFormat="1" applyFont="1" applyFill="1" applyBorder="1" applyAlignment="1">
      <alignment horizontal="center" vertical="center"/>
    </xf>
    <xf numFmtId="9" fontId="13" fillId="0" borderId="25" xfId="2" applyFont="1" applyBorder="1" applyAlignment="1">
      <alignment horizontal="center" vertical="center"/>
    </xf>
    <xf numFmtId="9" fontId="13" fillId="0" borderId="33" xfId="2" applyFont="1" applyBorder="1" applyAlignment="1">
      <alignment horizontal="center" vertical="center"/>
    </xf>
    <xf numFmtId="0" fontId="4" fillId="0" borderId="0" xfId="0" applyFont="1" applyFill="1"/>
    <xf numFmtId="0" fontId="6" fillId="0" borderId="0" xfId="0" applyFont="1" applyFill="1"/>
    <xf numFmtId="0" fontId="4" fillId="0" borderId="0" xfId="0" applyFont="1" applyFill="1" applyBorder="1"/>
    <xf numFmtId="0" fontId="5" fillId="0" borderId="0" xfId="0" applyFont="1" applyFill="1" applyBorder="1" applyAlignment="1">
      <alignment horizontal="center"/>
    </xf>
    <xf numFmtId="0" fontId="5" fillId="0" borderId="2" xfId="0" applyFont="1" applyFill="1" applyBorder="1" applyAlignment="1"/>
    <xf numFmtId="0" fontId="11" fillId="0" borderId="2" xfId="0" applyFont="1" applyFill="1" applyBorder="1" applyAlignment="1"/>
    <xf numFmtId="0" fontId="5" fillId="0" borderId="3" xfId="0" applyFont="1" applyFill="1" applyBorder="1" applyAlignment="1"/>
    <xf numFmtId="0" fontId="4" fillId="0" borderId="7" xfId="0" applyFont="1" applyFill="1" applyBorder="1"/>
    <xf numFmtId="0" fontId="6" fillId="0" borderId="0" xfId="0" applyFont="1" applyFill="1" applyBorder="1"/>
    <xf numFmtId="0" fontId="4" fillId="0" borderId="8" xfId="0" applyFont="1" applyFill="1" applyBorder="1"/>
    <xf numFmtId="0" fontId="4" fillId="0" borderId="8" xfId="0" applyFont="1" applyFill="1" applyBorder="1" applyAlignment="1">
      <alignment horizontal="center" vertical="center" wrapText="1"/>
    </xf>
    <xf numFmtId="0" fontId="4" fillId="0" borderId="10" xfId="0" applyFont="1" applyFill="1" applyBorder="1"/>
    <xf numFmtId="0" fontId="6" fillId="0" borderId="10" xfId="0" applyFont="1" applyFill="1" applyBorder="1"/>
    <xf numFmtId="0" fontId="4" fillId="0" borderId="11" xfId="0" applyFont="1" applyFill="1" applyBorder="1"/>
    <xf numFmtId="167" fontId="4" fillId="0" borderId="0" xfId="0" applyNumberFormat="1" applyFont="1" applyFill="1"/>
    <xf numFmtId="10" fontId="13" fillId="2" borderId="33" xfId="2" applyNumberFormat="1" applyFont="1" applyFill="1" applyBorder="1" applyAlignment="1">
      <alignment horizontal="center" vertical="center"/>
    </xf>
    <xf numFmtId="0" fontId="14" fillId="2" borderId="13" xfId="5" applyFill="1" applyBorder="1" applyAlignment="1">
      <alignment vertical="top"/>
    </xf>
    <xf numFmtId="0" fontId="9" fillId="2" borderId="13" xfId="0" applyFont="1" applyFill="1" applyBorder="1" applyAlignment="1">
      <alignment vertical="center" wrapText="1"/>
    </xf>
    <xf numFmtId="0" fontId="9" fillId="2" borderId="13" xfId="0" applyFont="1" applyFill="1" applyBorder="1" applyAlignment="1">
      <alignment vertical="center"/>
    </xf>
    <xf numFmtId="0" fontId="9" fillId="2" borderId="12" xfId="0" applyFont="1" applyFill="1" applyBorder="1" applyAlignment="1">
      <alignment vertical="center"/>
    </xf>
    <xf numFmtId="0" fontId="4" fillId="2" borderId="0" xfId="0" applyFont="1" applyFill="1"/>
    <xf numFmtId="0" fontId="5" fillId="0" borderId="0" xfId="0" applyFont="1" applyFill="1" applyAlignment="1">
      <alignment horizontal="center" vertical="center"/>
    </xf>
    <xf numFmtId="0" fontId="18" fillId="0" borderId="37" xfId="0" applyFont="1" applyFill="1" applyBorder="1" applyAlignment="1">
      <alignment horizontal="center" wrapText="1"/>
    </xf>
    <xf numFmtId="9" fontId="16" fillId="0" borderId="37" xfId="2" applyFont="1" applyFill="1" applyBorder="1" applyAlignment="1">
      <alignment horizontal="left" vertical="center" wrapText="1"/>
    </xf>
    <xf numFmtId="9" fontId="16" fillId="2" borderId="37" xfId="2" applyFont="1" applyFill="1" applyBorder="1" applyAlignment="1">
      <alignment horizontal="left" vertical="center" wrapText="1"/>
    </xf>
    <xf numFmtId="0" fontId="16" fillId="0" borderId="37" xfId="0" applyFont="1" applyFill="1" applyBorder="1" applyAlignment="1">
      <alignment horizontal="left" vertical="center" wrapText="1"/>
    </xf>
    <xf numFmtId="0" fontId="4" fillId="2" borderId="8" xfId="0" applyFont="1" applyFill="1" applyBorder="1" applyAlignment="1">
      <alignment horizontal="center" vertical="center" wrapText="1"/>
    </xf>
    <xf numFmtId="0" fontId="4" fillId="2" borderId="8" xfId="0" applyFont="1" applyFill="1" applyBorder="1"/>
    <xf numFmtId="0" fontId="4" fillId="2" borderId="10" xfId="0" applyFont="1" applyFill="1" applyBorder="1"/>
    <xf numFmtId="0" fontId="6" fillId="2" borderId="10" xfId="0" applyFont="1" applyFill="1" applyBorder="1"/>
    <xf numFmtId="0" fontId="4" fillId="2" borderId="11" xfId="0" applyFont="1" applyFill="1" applyBorder="1"/>
    <xf numFmtId="0" fontId="6" fillId="2" borderId="0" xfId="0" applyFont="1" applyFill="1"/>
    <xf numFmtId="0" fontId="15" fillId="0" borderId="37" xfId="0" applyFont="1" applyFill="1" applyBorder="1" applyAlignment="1">
      <alignment horizontal="left" vertical="center" wrapText="1"/>
    </xf>
    <xf numFmtId="0" fontId="4" fillId="0" borderId="1" xfId="0" applyFont="1" applyFill="1" applyBorder="1"/>
    <xf numFmtId="0" fontId="4" fillId="0" borderId="9" xfId="0" applyFont="1" applyFill="1" applyBorder="1"/>
    <xf numFmtId="0" fontId="5" fillId="0" borderId="0" xfId="0" applyFont="1" applyFill="1" applyBorder="1" applyAlignment="1"/>
    <xf numFmtId="0" fontId="4" fillId="0" borderId="2" xfId="0" applyFont="1" applyFill="1" applyBorder="1"/>
    <xf numFmtId="0" fontId="6" fillId="0" borderId="2" xfId="0" applyFont="1" applyFill="1" applyBorder="1"/>
    <xf numFmtId="0" fontId="4" fillId="0" borderId="3" xfId="0" applyFont="1" applyFill="1" applyBorder="1"/>
    <xf numFmtId="0" fontId="22" fillId="0" borderId="37" xfId="0" applyFont="1" applyFill="1" applyBorder="1" applyAlignment="1">
      <alignment vertical="center" wrapText="1"/>
    </xf>
    <xf numFmtId="0" fontId="16" fillId="0" borderId="37" xfId="0" applyFont="1" applyFill="1" applyBorder="1" applyAlignment="1">
      <alignment vertical="center" wrapText="1"/>
    </xf>
    <xf numFmtId="0" fontId="15" fillId="0" borderId="37" xfId="0" applyFont="1" applyFill="1" applyBorder="1" applyAlignment="1">
      <alignment vertical="center" wrapText="1"/>
    </xf>
    <xf numFmtId="9" fontId="16" fillId="0" borderId="37" xfId="2" applyFont="1" applyFill="1" applyBorder="1" applyAlignment="1">
      <alignment vertical="center" wrapText="1"/>
    </xf>
    <xf numFmtId="9" fontId="15" fillId="0" borderId="37" xfId="2" applyFont="1" applyFill="1" applyBorder="1" applyAlignment="1">
      <alignment horizontal="left" vertical="center" wrapText="1"/>
    </xf>
    <xf numFmtId="0" fontId="15" fillId="0" borderId="37" xfId="0" applyFont="1" applyFill="1" applyBorder="1" applyAlignment="1">
      <alignment horizontal="left"/>
    </xf>
    <xf numFmtId="0" fontId="17" fillId="0" borderId="37" xfId="0" applyFont="1" applyFill="1" applyBorder="1" applyAlignment="1">
      <alignment horizontal="left"/>
    </xf>
    <xf numFmtId="0" fontId="22" fillId="0" borderId="37" xfId="0" applyFont="1" applyFill="1" applyBorder="1" applyAlignment="1">
      <alignment horizontal="left" vertical="center" wrapText="1"/>
    </xf>
    <xf numFmtId="0" fontId="4" fillId="0" borderId="10" xfId="0" applyFont="1" applyFill="1" applyBorder="1" applyAlignment="1">
      <alignment vertical="center" wrapText="1"/>
    </xf>
    <xf numFmtId="0" fontId="15" fillId="2" borderId="37" xfId="0" applyFont="1" applyFill="1" applyBorder="1" applyAlignment="1">
      <alignment horizontal="left" vertical="center" wrapText="1"/>
    </xf>
    <xf numFmtId="0" fontId="15" fillId="4" borderId="37" xfId="0" applyFont="1" applyFill="1" applyBorder="1" applyAlignment="1">
      <alignment horizontal="left" vertical="center" wrapText="1"/>
    </xf>
    <xf numFmtId="0" fontId="15" fillId="5" borderId="37" xfId="0" applyFont="1" applyFill="1" applyBorder="1" applyAlignment="1">
      <alignment horizontal="left" vertical="center" wrapText="1"/>
    </xf>
    <xf numFmtId="0" fontId="15" fillId="0" borderId="37" xfId="0" applyFont="1" applyFill="1" applyBorder="1" applyAlignment="1">
      <alignment horizontal="left" vertical="center" wrapText="1"/>
    </xf>
    <xf numFmtId="0" fontId="16" fillId="0" borderId="37" xfId="0" applyFont="1" applyFill="1" applyBorder="1" applyAlignment="1">
      <alignment horizontal="left" vertical="center" wrapText="1"/>
    </xf>
    <xf numFmtId="0" fontId="22" fillId="0" borderId="37" xfId="0" applyFont="1" applyFill="1" applyBorder="1" applyAlignment="1">
      <alignment horizontal="justify" vertical="center" wrapText="1"/>
    </xf>
    <xf numFmtId="9" fontId="15" fillId="0" borderId="37" xfId="2" applyFont="1" applyFill="1" applyBorder="1" applyAlignment="1">
      <alignment horizontal="center" vertical="center" wrapText="1"/>
    </xf>
    <xf numFmtId="9" fontId="15" fillId="2" borderId="37" xfId="2" applyFont="1" applyFill="1" applyBorder="1" applyAlignment="1">
      <alignment horizontal="center" vertical="center" wrapText="1"/>
    </xf>
    <xf numFmtId="9" fontId="15" fillId="2" borderId="37" xfId="0" applyNumberFormat="1" applyFont="1" applyFill="1" applyBorder="1" applyAlignment="1">
      <alignment horizontal="center" vertical="center" wrapText="1"/>
    </xf>
    <xf numFmtId="9" fontId="22" fillId="2" borderId="37" xfId="0" applyNumberFormat="1" applyFont="1" applyFill="1" applyBorder="1" applyAlignment="1">
      <alignment horizontal="center" vertical="center" wrapText="1"/>
    </xf>
    <xf numFmtId="9" fontId="16" fillId="2" borderId="37" xfId="0" applyNumberFormat="1" applyFont="1" applyFill="1" applyBorder="1" applyAlignment="1">
      <alignment horizontal="center" vertical="center" wrapText="1"/>
    </xf>
    <xf numFmtId="0" fontId="15" fillId="0" borderId="37" xfId="0" applyFont="1" applyFill="1" applyBorder="1" applyAlignment="1">
      <alignment horizontal="left" vertical="top" wrapText="1"/>
    </xf>
    <xf numFmtId="9" fontId="15" fillId="2" borderId="37" xfId="2" applyNumberFormat="1" applyFont="1" applyFill="1" applyBorder="1" applyAlignment="1">
      <alignment horizontal="center" vertical="center" wrapText="1"/>
    </xf>
    <xf numFmtId="9" fontId="17" fillId="2" borderId="37" xfId="2" applyFont="1" applyFill="1" applyBorder="1" applyAlignment="1">
      <alignment vertical="center" wrapText="1"/>
    </xf>
    <xf numFmtId="165" fontId="17" fillId="2" borderId="37" xfId="1" applyNumberFormat="1" applyFont="1" applyFill="1" applyBorder="1" applyAlignment="1">
      <alignment vertical="center" wrapText="1"/>
    </xf>
    <xf numFmtId="9" fontId="17" fillId="2" borderId="37" xfId="2"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9" xfId="0" applyFont="1" applyFill="1" applyBorder="1" applyAlignment="1">
      <alignment horizontal="center" vertical="center"/>
    </xf>
    <xf numFmtId="9" fontId="16" fillId="2" borderId="37" xfId="2" applyFont="1" applyFill="1" applyBorder="1" applyAlignment="1">
      <alignment horizontal="center" vertical="center" wrapText="1"/>
    </xf>
    <xf numFmtId="0" fontId="15" fillId="0" borderId="37" xfId="0" applyFont="1" applyFill="1" applyBorder="1" applyAlignment="1">
      <alignment horizontal="left" vertical="center" wrapText="1"/>
    </xf>
    <xf numFmtId="0" fontId="16" fillId="0" borderId="37" xfId="0" applyFont="1" applyFill="1" applyBorder="1" applyAlignment="1">
      <alignment horizontal="left" vertical="center" wrapText="1"/>
    </xf>
    <xf numFmtId="0" fontId="15" fillId="2" borderId="37" xfId="0" applyFont="1" applyFill="1" applyBorder="1" applyAlignment="1">
      <alignment horizontal="center" vertical="center" wrapText="1"/>
    </xf>
    <xf numFmtId="0" fontId="4" fillId="0" borderId="38" xfId="0" applyFont="1" applyFill="1" applyBorder="1" applyAlignment="1">
      <alignment vertical="center" wrapText="1"/>
    </xf>
    <xf numFmtId="9" fontId="16" fillId="0" borderId="37" xfId="2" applyFont="1" applyFill="1" applyBorder="1" applyAlignment="1">
      <alignment horizontal="center" vertical="center" wrapText="1"/>
    </xf>
    <xf numFmtId="9" fontId="17" fillId="0" borderId="37" xfId="2" applyFont="1" applyFill="1" applyBorder="1" applyAlignment="1">
      <alignment horizontal="center" vertical="center" wrapText="1"/>
    </xf>
    <xf numFmtId="9" fontId="16" fillId="0" borderId="37" xfId="0" applyNumberFormat="1" applyFont="1" applyFill="1" applyBorder="1" applyAlignment="1">
      <alignment horizontal="center" vertical="center" wrapText="1"/>
    </xf>
    <xf numFmtId="0" fontId="16" fillId="2" borderId="37" xfId="0" applyFont="1" applyFill="1" applyBorder="1" applyAlignment="1">
      <alignment horizontal="left" vertical="center" wrapText="1"/>
    </xf>
    <xf numFmtId="0" fontId="15" fillId="2" borderId="37" xfId="0" applyFont="1" applyFill="1" applyBorder="1"/>
    <xf numFmtId="10" fontId="17" fillId="2" borderId="37" xfId="2" applyNumberFormat="1" applyFont="1" applyFill="1" applyBorder="1" applyAlignment="1">
      <alignment horizontal="center" vertical="center" wrapText="1"/>
    </xf>
    <xf numFmtId="10" fontId="16" fillId="2" borderId="37" xfId="2" applyNumberFormat="1" applyFont="1" applyFill="1" applyBorder="1" applyAlignment="1">
      <alignment horizontal="center" vertical="center" wrapText="1"/>
    </xf>
    <xf numFmtId="0" fontId="5" fillId="0" borderId="7" xfId="0" applyFont="1" applyFill="1" applyBorder="1" applyAlignment="1">
      <alignment horizontal="center" vertical="center"/>
    </xf>
    <xf numFmtId="0" fontId="15" fillId="0" borderId="37" xfId="0" applyFont="1" applyFill="1" applyBorder="1" applyAlignment="1">
      <alignment horizontal="left" vertical="center" wrapText="1"/>
    </xf>
    <xf numFmtId="0" fontId="16" fillId="0" borderId="37" xfId="0" applyFont="1" applyFill="1" applyBorder="1" applyAlignment="1">
      <alignment horizontal="left" vertical="center" wrapText="1"/>
    </xf>
    <xf numFmtId="0" fontId="18" fillId="0" borderId="37" xfId="0" applyFont="1" applyFill="1" applyBorder="1" applyAlignment="1">
      <alignment horizontal="center" vertical="center" wrapText="1"/>
    </xf>
    <xf numFmtId="9" fontId="16" fillId="2" borderId="37" xfId="2" applyFont="1" applyFill="1" applyBorder="1" applyAlignment="1">
      <alignment horizontal="center" vertical="center" wrapText="1"/>
    </xf>
    <xf numFmtId="9" fontId="16" fillId="2" borderId="37" xfId="2"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9" xfId="0" applyFont="1" applyFill="1" applyBorder="1" applyAlignment="1">
      <alignment horizontal="center" vertical="center"/>
    </xf>
    <xf numFmtId="9" fontId="16" fillId="2" borderId="37" xfId="2" applyFont="1" applyFill="1" applyBorder="1" applyAlignment="1">
      <alignment horizontal="center" vertical="center" wrapText="1"/>
    </xf>
    <xf numFmtId="0" fontId="7" fillId="0" borderId="7" xfId="0" applyFont="1" applyFill="1" applyBorder="1" applyAlignment="1">
      <alignment horizontal="center" vertical="center"/>
    </xf>
    <xf numFmtId="0" fontId="25" fillId="0" borderId="0" xfId="0" applyFont="1" applyFill="1" applyAlignment="1">
      <alignment horizontal="center"/>
    </xf>
    <xf numFmtId="0" fontId="25" fillId="0" borderId="0" xfId="0" applyFont="1" applyFill="1" applyBorder="1" applyAlignment="1">
      <alignment horizontal="center"/>
    </xf>
    <xf numFmtId="0" fontId="25" fillId="0" borderId="1" xfId="0" applyFont="1" applyFill="1" applyBorder="1" applyAlignment="1">
      <alignment horizontal="center"/>
    </xf>
    <xf numFmtId="0" fontId="25" fillId="0" borderId="7" xfId="0" applyFont="1" applyFill="1" applyBorder="1" applyAlignment="1">
      <alignment horizontal="center"/>
    </xf>
    <xf numFmtId="0" fontId="25" fillId="0" borderId="9" xfId="0" applyFont="1" applyFill="1" applyBorder="1" applyAlignment="1">
      <alignment horizontal="center"/>
    </xf>
    <xf numFmtId="9" fontId="16" fillId="4" borderId="37" xfId="0" applyNumberFormat="1" applyFont="1" applyFill="1" applyBorder="1" applyAlignment="1">
      <alignment horizontal="center" vertical="center" wrapText="1"/>
    </xf>
    <xf numFmtId="0" fontId="23" fillId="2" borderId="37" xfId="0" applyFont="1" applyFill="1" applyBorder="1" applyAlignment="1">
      <alignment horizontal="center" vertical="center"/>
    </xf>
    <xf numFmtId="164" fontId="16" fillId="2" borderId="37" xfId="4" applyFont="1" applyFill="1" applyBorder="1" applyAlignment="1">
      <alignment horizontal="center" vertical="center" wrapText="1"/>
    </xf>
    <xf numFmtId="168" fontId="16" fillId="2" borderId="37" xfId="1" applyNumberFormat="1" applyFont="1" applyFill="1" applyBorder="1" applyAlignment="1">
      <alignment horizontal="center" vertical="center" wrapText="1"/>
    </xf>
    <xf numFmtId="0" fontId="16" fillId="0" borderId="40" xfId="0" applyFont="1" applyFill="1" applyBorder="1" applyAlignment="1">
      <alignment horizontal="left" vertical="center" wrapText="1"/>
    </xf>
    <xf numFmtId="0" fontId="15" fillId="0" borderId="40" xfId="0" applyFont="1" applyFill="1" applyBorder="1" applyAlignment="1">
      <alignment horizontal="left" vertical="center" wrapText="1"/>
    </xf>
    <xf numFmtId="0" fontId="22" fillId="0" borderId="40" xfId="0" applyFont="1" applyFill="1" applyBorder="1" applyAlignment="1">
      <alignment horizontal="justify" vertical="center" wrapText="1"/>
    </xf>
    <xf numFmtId="9" fontId="15" fillId="0" borderId="40" xfId="2" applyFont="1" applyFill="1" applyBorder="1" applyAlignment="1">
      <alignment horizontal="center" vertical="center" wrapText="1"/>
    </xf>
    <xf numFmtId="9" fontId="15" fillId="2" borderId="40" xfId="2" applyNumberFormat="1" applyFont="1" applyFill="1" applyBorder="1" applyAlignment="1">
      <alignment horizontal="center" vertical="center" wrapText="1"/>
    </xf>
    <xf numFmtId="9" fontId="16" fillId="2" borderId="40" xfId="2" applyFont="1" applyFill="1" applyBorder="1" applyAlignment="1">
      <alignment horizontal="center" vertical="center" wrapText="1"/>
    </xf>
    <xf numFmtId="9" fontId="16" fillId="2" borderId="40" xfId="0" applyNumberFormat="1" applyFont="1" applyFill="1" applyBorder="1" applyAlignment="1">
      <alignment horizontal="center" vertical="center" wrapText="1"/>
    </xf>
    <xf numFmtId="0" fontId="15" fillId="2" borderId="40" xfId="0" applyFont="1" applyFill="1" applyBorder="1" applyAlignment="1">
      <alignment horizontal="center" vertical="center" wrapText="1"/>
    </xf>
    <xf numFmtId="0" fontId="26" fillId="2" borderId="7" xfId="0" applyFont="1" applyFill="1" applyBorder="1" applyAlignment="1">
      <alignment horizontal="center" vertical="center"/>
    </xf>
    <xf numFmtId="0" fontId="15" fillId="0" borderId="37" xfId="0" applyFont="1" applyFill="1" applyBorder="1" applyAlignment="1">
      <alignment horizontal="center"/>
    </xf>
    <xf numFmtId="0" fontId="17" fillId="0" borderId="37" xfId="0" applyFont="1" applyFill="1" applyBorder="1" applyAlignment="1">
      <alignment horizontal="center"/>
    </xf>
    <xf numFmtId="0" fontId="16" fillId="0" borderId="37" xfId="0" applyFont="1" applyFill="1" applyBorder="1" applyAlignment="1">
      <alignment horizontal="center" vertical="center" wrapText="1"/>
    </xf>
    <xf numFmtId="165" fontId="23" fillId="0" borderId="37" xfId="1" applyNumberFormat="1" applyFont="1" applyFill="1" applyBorder="1" applyAlignment="1">
      <alignment horizontal="center" vertical="center" wrapText="1"/>
    </xf>
    <xf numFmtId="9" fontId="23" fillId="0" borderId="37" xfId="2" applyFont="1" applyFill="1" applyBorder="1" applyAlignment="1">
      <alignment horizontal="center" vertical="center" wrapText="1"/>
    </xf>
    <xf numFmtId="0" fontId="23" fillId="0" borderId="37" xfId="0" applyFont="1" applyFill="1" applyBorder="1" applyAlignment="1">
      <alignment horizontal="center" vertical="center"/>
    </xf>
    <xf numFmtId="0" fontId="15" fillId="2" borderId="37" xfId="0" applyFont="1" applyFill="1" applyBorder="1" applyAlignment="1">
      <alignment vertical="center" wrapText="1"/>
    </xf>
    <xf numFmtId="164" fontId="16" fillId="2" borderId="37" xfId="4" applyNumberFormat="1" applyFont="1" applyFill="1" applyBorder="1" applyAlignment="1">
      <alignment horizontal="center" vertical="center" wrapText="1"/>
    </xf>
    <xf numFmtId="164" fontId="16" fillId="2" borderId="37" xfId="4" applyFont="1" applyFill="1" applyBorder="1" applyAlignment="1">
      <alignment vertical="center" wrapText="1"/>
    </xf>
    <xf numFmtId="2" fontId="15" fillId="2" borderId="37" xfId="3" applyNumberFormat="1" applyFont="1" applyFill="1" applyBorder="1" applyAlignment="1">
      <alignment horizontal="center" vertical="center"/>
    </xf>
    <xf numFmtId="0" fontId="16" fillId="2" borderId="37" xfId="0" applyFont="1" applyFill="1" applyBorder="1" applyAlignment="1">
      <alignment horizontal="center" vertical="center" wrapText="1"/>
    </xf>
    <xf numFmtId="9" fontId="16" fillId="2" borderId="37" xfId="2" applyFont="1" applyFill="1" applyBorder="1" applyAlignment="1">
      <alignment vertical="center" wrapText="1"/>
    </xf>
    <xf numFmtId="0" fontId="5" fillId="2" borderId="2" xfId="0" applyFont="1" applyFill="1" applyBorder="1" applyAlignment="1"/>
    <xf numFmtId="0" fontId="16" fillId="2" borderId="37" xfId="0" applyFont="1" applyFill="1" applyBorder="1" applyAlignment="1">
      <alignment horizontal="left" vertical="center" wrapText="1"/>
    </xf>
    <xf numFmtId="0" fontId="15" fillId="2" borderId="37" xfId="0" applyFont="1" applyFill="1" applyBorder="1" applyAlignment="1">
      <alignment horizontal="left" vertical="center" wrapText="1"/>
    </xf>
    <xf numFmtId="0" fontId="11" fillId="2" borderId="2" xfId="0" applyFont="1" applyFill="1" applyBorder="1" applyAlignment="1"/>
    <xf numFmtId="0" fontId="4" fillId="2" borderId="2" xfId="0" applyFont="1" applyFill="1" applyBorder="1"/>
    <xf numFmtId="0" fontId="6" fillId="2" borderId="2" xfId="0" applyFont="1" applyFill="1" applyBorder="1"/>
    <xf numFmtId="0" fontId="7" fillId="2" borderId="7" xfId="0" applyFont="1" applyFill="1" applyBorder="1" applyAlignment="1">
      <alignment horizontal="center" vertical="center"/>
    </xf>
    <xf numFmtId="0" fontId="22" fillId="2" borderId="37" xfId="0" applyFont="1" applyFill="1" applyBorder="1" applyAlignment="1">
      <alignment horizontal="left" vertical="center" wrapText="1"/>
    </xf>
    <xf numFmtId="9" fontId="22" fillId="2" borderId="37" xfId="2" applyFont="1" applyFill="1" applyBorder="1" applyAlignment="1">
      <alignment horizontal="center" vertical="center" wrapText="1"/>
    </xf>
    <xf numFmtId="0" fontId="22" fillId="2" borderId="37" xfId="0" applyFont="1" applyFill="1" applyBorder="1" applyAlignment="1">
      <alignment horizontal="justify" vertical="center" wrapText="1"/>
    </xf>
    <xf numFmtId="0" fontId="22" fillId="2" borderId="37" xfId="0" applyFont="1" applyFill="1" applyBorder="1" applyAlignment="1">
      <alignment vertical="center" wrapText="1"/>
    </xf>
    <xf numFmtId="0" fontId="15" fillId="2" borderId="37" xfId="0" applyFont="1" applyFill="1" applyBorder="1" applyAlignment="1">
      <alignment horizontal="left" vertical="top" wrapText="1"/>
    </xf>
    <xf numFmtId="9" fontId="16" fillId="2" borderId="37" xfId="2" applyFont="1" applyFill="1" applyBorder="1" applyAlignment="1">
      <alignment horizontal="center" vertical="center" wrapText="1"/>
    </xf>
    <xf numFmtId="9" fontId="16" fillId="0" borderId="37" xfId="2" applyFont="1" applyFill="1" applyBorder="1" applyAlignment="1">
      <alignment horizontal="center" vertical="center" wrapText="1"/>
    </xf>
    <xf numFmtId="9" fontId="15" fillId="0" borderId="37" xfId="2" applyFont="1" applyFill="1" applyBorder="1" applyAlignment="1">
      <alignment horizontal="center" vertical="center" wrapText="1"/>
    </xf>
    <xf numFmtId="0" fontId="15" fillId="0" borderId="37" xfId="0" applyFont="1" applyFill="1" applyBorder="1" applyAlignment="1">
      <alignment horizontal="left" vertical="center" wrapText="1"/>
    </xf>
    <xf numFmtId="9" fontId="16" fillId="0" borderId="37" xfId="2" applyFont="1" applyFill="1" applyBorder="1" applyAlignment="1">
      <alignment horizontal="left" vertical="center" wrapText="1"/>
    </xf>
    <xf numFmtId="0" fontId="15" fillId="2" borderId="37" xfId="0" applyFont="1" applyFill="1" applyBorder="1" applyAlignment="1">
      <alignment horizontal="left" vertical="center" wrapText="1"/>
    </xf>
    <xf numFmtId="9" fontId="15" fillId="7" borderId="37" xfId="0" applyNumberFormat="1" applyFont="1" applyFill="1" applyBorder="1" applyAlignment="1">
      <alignment horizontal="center" vertical="center" wrapText="1"/>
    </xf>
    <xf numFmtId="9" fontId="15" fillId="7" borderId="41" xfId="0" applyNumberFormat="1" applyFont="1" applyFill="1" applyBorder="1" applyAlignment="1">
      <alignment horizontal="center" vertical="center" wrapText="1"/>
    </xf>
    <xf numFmtId="9" fontId="15" fillId="7" borderId="37" xfId="2" applyFont="1" applyFill="1" applyBorder="1" applyAlignment="1">
      <alignment horizontal="center" vertical="center" wrapText="1"/>
    </xf>
    <xf numFmtId="9" fontId="16" fillId="2" borderId="37" xfId="0" applyNumberFormat="1" applyFont="1" applyFill="1" applyBorder="1" applyAlignment="1">
      <alignment horizontal="left" vertical="center" wrapText="1"/>
    </xf>
    <xf numFmtId="164" fontId="16" fillId="2" borderId="37" xfId="4" applyNumberFormat="1" applyFont="1" applyFill="1" applyBorder="1" applyAlignment="1">
      <alignment horizontal="left" vertical="center" wrapText="1"/>
    </xf>
    <xf numFmtId="164" fontId="16" fillId="2" borderId="37" xfId="4" applyFont="1" applyFill="1" applyBorder="1" applyAlignment="1">
      <alignment horizontal="left" vertical="center" wrapText="1"/>
    </xf>
    <xf numFmtId="0" fontId="4" fillId="8" borderId="42" xfId="0" applyFont="1" applyFill="1" applyBorder="1" applyAlignment="1">
      <alignment horizontal="left" vertical="center" wrapText="1"/>
    </xf>
    <xf numFmtId="0" fontId="5" fillId="8" borderId="42" xfId="0" applyFont="1" applyFill="1" applyBorder="1" applyAlignment="1">
      <alignment horizontal="left" vertical="center" wrapText="1"/>
    </xf>
    <xf numFmtId="0" fontId="28" fillId="8" borderId="42" xfId="0" applyFont="1" applyFill="1" applyBorder="1" applyAlignment="1">
      <alignment horizontal="left" vertical="center" wrapText="1"/>
    </xf>
    <xf numFmtId="9" fontId="28" fillId="8" borderId="42" xfId="0" applyNumberFormat="1" applyFont="1" applyFill="1" applyBorder="1" applyAlignment="1">
      <alignment horizontal="center" vertical="center" wrapText="1"/>
    </xf>
    <xf numFmtId="0" fontId="29" fillId="8" borderId="42" xfId="0" applyFont="1" applyFill="1" applyBorder="1" applyAlignment="1">
      <alignment horizontal="center" vertical="center"/>
    </xf>
    <xf numFmtId="0" fontId="29" fillId="8" borderId="42" xfId="0" applyFont="1" applyFill="1" applyBorder="1" applyAlignment="1">
      <alignment vertical="center"/>
    </xf>
    <xf numFmtId="0" fontId="28" fillId="8" borderId="42" xfId="0" applyFont="1" applyFill="1" applyBorder="1" applyAlignment="1">
      <alignment horizontal="center" vertical="center" wrapText="1"/>
    </xf>
    <xf numFmtId="0" fontId="4" fillId="8" borderId="43" xfId="0" applyFont="1" applyFill="1" applyBorder="1" applyAlignment="1">
      <alignment horizontal="center" vertical="center" wrapText="1"/>
    </xf>
    <xf numFmtId="0" fontId="4" fillId="0" borderId="44" xfId="0" applyFont="1" applyBorder="1"/>
    <xf numFmtId="9" fontId="16" fillId="2" borderId="37" xfId="2"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5" fillId="0" borderId="37" xfId="0" applyFont="1" applyFill="1" applyBorder="1" applyAlignment="1">
      <alignment horizontal="left" vertical="center" wrapText="1"/>
    </xf>
    <xf numFmtId="0" fontId="15" fillId="0" borderId="37" xfId="0" applyFont="1" applyFill="1" applyBorder="1" applyAlignment="1">
      <alignment vertical="center" wrapText="1"/>
    </xf>
    <xf numFmtId="9" fontId="16" fillId="0" borderId="37" xfId="2" applyFont="1" applyFill="1" applyBorder="1" applyAlignment="1">
      <alignment horizontal="center" vertical="center" wrapText="1"/>
    </xf>
    <xf numFmtId="9" fontId="15" fillId="0" borderId="37" xfId="2" applyFont="1" applyFill="1" applyBorder="1" applyAlignment="1">
      <alignment horizontal="center" vertical="center" wrapText="1"/>
    </xf>
    <xf numFmtId="0" fontId="15" fillId="2" borderId="37" xfId="0" applyFont="1" applyFill="1" applyBorder="1" applyAlignment="1">
      <alignment horizontal="left" vertical="center" wrapText="1"/>
    </xf>
    <xf numFmtId="0" fontId="16" fillId="2" borderId="37" xfId="0" applyFont="1" applyFill="1" applyBorder="1" applyAlignment="1">
      <alignment horizontal="left" vertical="center" wrapText="1"/>
    </xf>
    <xf numFmtId="9" fontId="15" fillId="2" borderId="37" xfId="2" applyFont="1" applyFill="1" applyBorder="1" applyAlignment="1">
      <alignment horizontal="center" vertical="center" wrapText="1"/>
    </xf>
    <xf numFmtId="0" fontId="4" fillId="0" borderId="0" xfId="0" applyFont="1" applyFill="1" applyAlignment="1">
      <alignment horizontal="left" vertical="center" wrapText="1"/>
    </xf>
    <xf numFmtId="0" fontId="15" fillId="9" borderId="37" xfId="0" applyFont="1" applyFill="1" applyBorder="1" applyAlignment="1">
      <alignment horizontal="left" vertical="center" wrapText="1"/>
    </xf>
    <xf numFmtId="9" fontId="15" fillId="9" borderId="37" xfId="2" applyFont="1" applyFill="1" applyBorder="1" applyAlignment="1">
      <alignment horizontal="center" vertical="center" wrapText="1"/>
    </xf>
    <xf numFmtId="0" fontId="16" fillId="2" borderId="37" xfId="2" applyNumberFormat="1" applyFont="1" applyFill="1" applyBorder="1" applyAlignment="1">
      <alignment horizontal="center" vertical="center" wrapText="1"/>
    </xf>
    <xf numFmtId="0" fontId="30" fillId="2" borderId="37" xfId="6" applyNumberFormat="1" applyFont="1" applyFill="1" applyBorder="1" applyAlignment="1">
      <alignment horizontal="center" vertical="center" wrapText="1"/>
    </xf>
    <xf numFmtId="0" fontId="16" fillId="4" borderId="37" xfId="0" applyNumberFormat="1" applyFont="1" applyFill="1" applyBorder="1" applyAlignment="1">
      <alignment horizontal="center" vertical="center" wrapText="1"/>
    </xf>
    <xf numFmtId="0" fontId="16" fillId="2" borderId="37" xfId="0" applyNumberFormat="1" applyFont="1" applyFill="1" applyBorder="1" applyAlignment="1">
      <alignment horizontal="center" vertical="center" wrapText="1"/>
    </xf>
    <xf numFmtId="0" fontId="15" fillId="2" borderId="37" xfId="2" applyNumberFormat="1" applyFont="1" applyFill="1" applyBorder="1" applyAlignment="1">
      <alignment horizontal="center" vertical="center" wrapText="1"/>
    </xf>
    <xf numFmtId="0" fontId="22" fillId="2" borderId="37" xfId="2" applyNumberFormat="1" applyFont="1" applyFill="1" applyBorder="1" applyAlignment="1">
      <alignment horizontal="center" vertical="center" wrapText="1"/>
    </xf>
    <xf numFmtId="9" fontId="4" fillId="0" borderId="0" xfId="0" applyNumberFormat="1" applyFont="1" applyFill="1"/>
    <xf numFmtId="9" fontId="16" fillId="5" borderId="37" xfId="0" applyNumberFormat="1" applyFont="1" applyFill="1" applyBorder="1" applyAlignment="1">
      <alignment horizontal="center" vertical="center" wrapText="1"/>
    </xf>
    <xf numFmtId="9" fontId="16" fillId="10" borderId="37" xfId="0" applyNumberFormat="1" applyFont="1" applyFill="1" applyBorder="1" applyAlignment="1">
      <alignment horizontal="center" vertical="center" wrapText="1"/>
    </xf>
    <xf numFmtId="9" fontId="15" fillId="2" borderId="46" xfId="2" applyFont="1" applyFill="1" applyBorder="1" applyAlignment="1">
      <alignment horizontal="center" vertical="center" wrapText="1"/>
    </xf>
    <xf numFmtId="0" fontId="15" fillId="2" borderId="40" xfId="0" applyFont="1" applyFill="1" applyBorder="1" applyAlignment="1">
      <alignment horizontal="left" vertical="center" wrapText="1"/>
    </xf>
    <xf numFmtId="9" fontId="15" fillId="2" borderId="37" xfId="2" applyFont="1" applyFill="1" applyBorder="1" applyAlignment="1">
      <alignment horizontal="left" vertical="center" wrapText="1"/>
    </xf>
    <xf numFmtId="9" fontId="15" fillId="2" borderId="37" xfId="2" applyNumberFormat="1" applyFont="1" applyFill="1" applyBorder="1" applyAlignment="1">
      <alignment horizontal="left" vertical="center" wrapText="1"/>
    </xf>
    <xf numFmtId="165" fontId="17" fillId="2" borderId="37" xfId="1" applyNumberFormat="1" applyFont="1" applyFill="1" applyBorder="1" applyAlignment="1">
      <alignment horizontal="left" vertical="center" wrapText="1"/>
    </xf>
    <xf numFmtId="2" fontId="15" fillId="2" borderId="37" xfId="2" applyNumberFormat="1" applyFont="1" applyFill="1" applyBorder="1" applyAlignment="1">
      <alignment horizontal="left" vertical="center"/>
    </xf>
    <xf numFmtId="0" fontId="17" fillId="2" borderId="37" xfId="0" applyFont="1" applyFill="1" applyBorder="1" applyAlignment="1">
      <alignment horizontal="left" vertical="center"/>
    </xf>
    <xf numFmtId="2" fontId="15" fillId="2" borderId="37" xfId="3" applyNumberFormat="1" applyFont="1" applyFill="1" applyBorder="1" applyAlignment="1">
      <alignment horizontal="left" vertical="center"/>
    </xf>
    <xf numFmtId="10" fontId="16" fillId="2" borderId="37" xfId="2" applyNumberFormat="1" applyFont="1" applyFill="1" applyBorder="1" applyAlignment="1">
      <alignment horizontal="left" vertical="center" wrapText="1"/>
    </xf>
    <xf numFmtId="166" fontId="17" fillId="2" borderId="37" xfId="0" applyNumberFormat="1" applyFont="1" applyFill="1" applyBorder="1" applyAlignment="1">
      <alignment horizontal="left" vertical="center"/>
    </xf>
    <xf numFmtId="9" fontId="15" fillId="2" borderId="45" xfId="2" applyNumberFormat="1" applyFont="1" applyFill="1" applyBorder="1" applyAlignment="1">
      <alignment horizontal="center" vertical="center" wrapText="1"/>
    </xf>
    <xf numFmtId="0" fontId="0" fillId="0" borderId="0" xfId="0" applyAlignment="1">
      <alignment horizontal="center"/>
    </xf>
    <xf numFmtId="0" fontId="9" fillId="3" borderId="1"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23" xfId="0" applyFont="1" applyFill="1" applyBorder="1" applyAlignment="1">
      <alignment horizontal="center" vertical="center"/>
    </xf>
    <xf numFmtId="0" fontId="9" fillId="2" borderId="16" xfId="0" applyFont="1" applyFill="1" applyBorder="1" applyAlignment="1">
      <alignment horizontal="left" vertical="center"/>
    </xf>
    <xf numFmtId="0" fontId="9" fillId="2" borderId="20" xfId="0" applyFont="1" applyFill="1" applyBorder="1" applyAlignment="1">
      <alignment horizontal="left" vertical="center"/>
    </xf>
    <xf numFmtId="0" fontId="9" fillId="2" borderId="21" xfId="0" applyFont="1" applyFill="1" applyBorder="1" applyAlignment="1">
      <alignment horizontal="left" vertical="center"/>
    </xf>
    <xf numFmtId="0" fontId="9" fillId="2" borderId="1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17" xfId="0" applyFont="1" applyFill="1" applyBorder="1" applyAlignment="1">
      <alignment horizontal="left" vertical="center"/>
    </xf>
    <xf numFmtId="0" fontId="9" fillId="2" borderId="15" xfId="0" applyFont="1" applyFill="1" applyBorder="1" applyAlignment="1">
      <alignment horizontal="left" vertical="center" wrapText="1"/>
    </xf>
    <xf numFmtId="9" fontId="17" fillId="2" borderId="37" xfId="2" applyFont="1" applyFill="1" applyBorder="1" applyAlignment="1">
      <alignment horizontal="center" vertical="center" wrapText="1"/>
    </xf>
    <xf numFmtId="0" fontId="18" fillId="2" borderId="37" xfId="0" applyFont="1" applyFill="1" applyBorder="1" applyAlignment="1">
      <alignment horizontal="center" vertical="center" wrapText="1"/>
    </xf>
    <xf numFmtId="0" fontId="5" fillId="0" borderId="8" xfId="0" applyFont="1" applyFill="1" applyBorder="1" applyAlignment="1">
      <alignment horizontal="center" vertical="center"/>
    </xf>
    <xf numFmtId="0" fontId="16" fillId="0" borderId="37" xfId="0" applyFont="1" applyFill="1" applyBorder="1" applyAlignment="1">
      <alignment horizontal="left" vertical="center" wrapText="1"/>
    </xf>
    <xf numFmtId="9" fontId="16" fillId="2" borderId="37" xfId="2"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5" fillId="0" borderId="37" xfId="0" applyFont="1" applyFill="1" applyBorder="1" applyAlignment="1">
      <alignment horizontal="left" vertical="center" wrapText="1"/>
    </xf>
    <xf numFmtId="0" fontId="4" fillId="0" borderId="1"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0" fontId="4" fillId="0" borderId="7" xfId="0" applyFont="1" applyFill="1" applyBorder="1" applyAlignment="1">
      <alignment horizontal="center"/>
    </xf>
    <xf numFmtId="0" fontId="4" fillId="0" borderId="0"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0" xfId="0" applyFont="1" applyFill="1" applyBorder="1" applyAlignment="1">
      <alignment horizontal="center"/>
    </xf>
    <xf numFmtId="0" fontId="4" fillId="0" borderId="11" xfId="0" applyFont="1" applyFill="1" applyBorder="1" applyAlignment="1">
      <alignment horizont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11" xfId="0" applyFont="1" applyFill="1" applyBorder="1" applyAlignment="1">
      <alignment horizontal="center" vertical="center"/>
    </xf>
    <xf numFmtId="0" fontId="19" fillId="0" borderId="4" xfId="0" applyFont="1" applyFill="1" applyBorder="1" applyAlignment="1">
      <alignment horizontal="left" vertical="center"/>
    </xf>
    <xf numFmtId="0" fontId="19" fillId="0" borderId="5" xfId="0" applyFont="1" applyFill="1" applyBorder="1" applyAlignment="1">
      <alignment horizontal="left" vertical="center"/>
    </xf>
    <xf numFmtId="0" fontId="19" fillId="0" borderId="6" xfId="0" applyFont="1" applyFill="1" applyBorder="1" applyAlignment="1">
      <alignment horizontal="left" vertical="center"/>
    </xf>
    <xf numFmtId="0" fontId="20" fillId="0" borderId="7"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8" xfId="0" applyFont="1" applyFill="1" applyBorder="1" applyAlignment="1">
      <alignment horizontal="center" vertical="center"/>
    </xf>
    <xf numFmtId="0" fontId="19" fillId="0" borderId="1"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19" fillId="0" borderId="3"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0" borderId="7" xfId="0" applyFont="1" applyFill="1" applyBorder="1" applyAlignment="1">
      <alignment horizontal="left" vertical="top" wrapText="1"/>
    </xf>
    <xf numFmtId="0" fontId="19" fillId="0" borderId="0" xfId="0" applyFont="1" applyFill="1" applyBorder="1" applyAlignment="1">
      <alignment horizontal="left" vertical="top"/>
    </xf>
    <xf numFmtId="0" fontId="19" fillId="0" borderId="8" xfId="0" applyFont="1" applyFill="1" applyBorder="1" applyAlignment="1">
      <alignment horizontal="left" vertical="top"/>
    </xf>
    <xf numFmtId="0" fontId="19" fillId="0" borderId="7" xfId="0" applyFont="1" applyFill="1" applyBorder="1" applyAlignment="1">
      <alignment horizontal="left" vertical="top"/>
    </xf>
    <xf numFmtId="0" fontId="7" fillId="0" borderId="4" xfId="0" applyFont="1" applyFill="1" applyBorder="1" applyAlignment="1">
      <alignment horizontal="left" vertical="center"/>
    </xf>
    <xf numFmtId="0" fontId="7" fillId="0" borderId="5" xfId="0" applyFont="1" applyFill="1" applyBorder="1" applyAlignment="1">
      <alignment horizontal="left" vertical="center"/>
    </xf>
    <xf numFmtId="0" fontId="7" fillId="0" borderId="6" xfId="0" applyFont="1" applyFill="1" applyBorder="1" applyAlignment="1">
      <alignment horizontal="left" vertical="center"/>
    </xf>
    <xf numFmtId="0" fontId="18" fillId="0" borderId="1"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9"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11" xfId="0"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9"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7" xfId="0" applyFont="1" applyFill="1" applyBorder="1" applyAlignment="1">
      <alignment horizontal="left" vertical="top" wrapText="1"/>
    </xf>
    <xf numFmtId="0" fontId="7" fillId="0" borderId="0" xfId="0" applyFont="1" applyFill="1" applyBorder="1" applyAlignment="1">
      <alignment horizontal="left" vertical="top"/>
    </xf>
    <xf numFmtId="0" fontId="7" fillId="0" borderId="8" xfId="0" applyFont="1" applyFill="1" applyBorder="1" applyAlignment="1">
      <alignment horizontal="left" vertical="top"/>
    </xf>
    <xf numFmtId="0" fontId="7" fillId="0" borderId="9" xfId="0" applyFont="1" applyFill="1" applyBorder="1" applyAlignment="1">
      <alignment horizontal="left" vertical="top"/>
    </xf>
    <xf numFmtId="0" fontId="7" fillId="0" borderId="10" xfId="0" applyFont="1" applyFill="1" applyBorder="1" applyAlignment="1">
      <alignment horizontal="left" vertical="top"/>
    </xf>
    <xf numFmtId="0" fontId="7" fillId="0" borderId="11" xfId="0" applyFont="1" applyFill="1" applyBorder="1" applyAlignment="1">
      <alignment horizontal="left" vertical="top"/>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4" fillId="0" borderId="10" xfId="0" applyFont="1" applyFill="1" applyBorder="1" applyAlignment="1">
      <alignment horizontal="center" vertical="center" wrapText="1"/>
    </xf>
    <xf numFmtId="0" fontId="15" fillId="0" borderId="47" xfId="0" applyFont="1" applyFill="1" applyBorder="1" applyAlignment="1">
      <alignment horizontal="left" vertical="center" wrapText="1"/>
    </xf>
    <xf numFmtId="0" fontId="15" fillId="0" borderId="48" xfId="0" applyFont="1" applyFill="1" applyBorder="1" applyAlignment="1">
      <alignment horizontal="left" vertical="center" wrapText="1"/>
    </xf>
    <xf numFmtId="0" fontId="15" fillId="0" borderId="37" xfId="0" applyFont="1" applyFill="1" applyBorder="1" applyAlignment="1">
      <alignment vertical="center" wrapText="1"/>
    </xf>
    <xf numFmtId="9" fontId="16" fillId="0" borderId="37" xfId="2" applyFont="1" applyFill="1" applyBorder="1" applyAlignment="1">
      <alignment horizontal="left" vertical="center" wrapText="1"/>
    </xf>
    <xf numFmtId="0" fontId="19" fillId="0" borderId="9"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9" fillId="0" borderId="9" xfId="0" applyFont="1" applyFill="1" applyBorder="1" applyAlignment="1">
      <alignment horizontal="left" vertical="top"/>
    </xf>
    <xf numFmtId="0" fontId="19" fillId="0" borderId="10" xfId="0" applyFont="1" applyFill="1" applyBorder="1" applyAlignment="1">
      <alignment horizontal="left" vertical="top"/>
    </xf>
    <xf numFmtId="0" fontId="19" fillId="0" borderId="11" xfId="0" applyFont="1" applyFill="1" applyBorder="1" applyAlignment="1">
      <alignment horizontal="left" vertical="top"/>
    </xf>
    <xf numFmtId="9" fontId="16" fillId="2" borderId="37" xfId="2" applyFont="1" applyFill="1" applyBorder="1" applyAlignment="1">
      <alignment horizontal="left" vertical="center" wrapText="1"/>
    </xf>
    <xf numFmtId="9" fontId="17" fillId="2" borderId="37" xfId="2" applyFont="1" applyFill="1" applyBorder="1" applyAlignment="1">
      <alignment horizontal="left" vertical="center" wrapText="1"/>
    </xf>
    <xf numFmtId="9" fontId="16" fillId="0" borderId="37" xfId="2" applyFont="1" applyFill="1" applyBorder="1" applyAlignment="1">
      <alignment horizontal="center" vertical="center" wrapText="1"/>
    </xf>
    <xf numFmtId="9" fontId="23" fillId="0" borderId="37" xfId="2" applyFont="1" applyFill="1" applyBorder="1" applyAlignment="1">
      <alignment horizontal="center" vertical="center" wrapText="1"/>
    </xf>
    <xf numFmtId="9" fontId="15" fillId="0" borderId="37" xfId="2" applyFont="1" applyFill="1" applyBorder="1" applyAlignment="1">
      <alignment horizontal="center" vertical="center" wrapText="1"/>
    </xf>
    <xf numFmtId="9" fontId="22" fillId="2" borderId="37" xfId="2" applyNumberFormat="1" applyFont="1" applyFill="1" applyBorder="1" applyAlignment="1">
      <alignment horizontal="center" vertical="center" wrapText="1"/>
    </xf>
    <xf numFmtId="10" fontId="16" fillId="2" borderId="37" xfId="2" applyNumberFormat="1" applyFont="1" applyFill="1" applyBorder="1" applyAlignment="1">
      <alignment horizontal="center" vertical="center" wrapText="1"/>
    </xf>
    <xf numFmtId="9" fontId="16" fillId="2" borderId="37" xfId="2" applyNumberFormat="1" applyFont="1" applyFill="1" applyBorder="1" applyAlignment="1">
      <alignment horizontal="center" vertical="center" wrapText="1"/>
    </xf>
    <xf numFmtId="0" fontId="15" fillId="0" borderId="40" xfId="0" applyFont="1" applyFill="1" applyBorder="1" applyAlignment="1">
      <alignment horizontal="left" vertical="center"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8" fillId="0" borderId="4" xfId="0" applyFont="1" applyFill="1" applyBorder="1" applyAlignment="1">
      <alignment horizontal="left" vertical="center"/>
    </xf>
    <xf numFmtId="0" fontId="8" fillId="0" borderId="5" xfId="0" applyFont="1" applyFill="1" applyBorder="1" applyAlignment="1">
      <alignment horizontal="left" vertical="center"/>
    </xf>
    <xf numFmtId="0" fontId="8" fillId="0" borderId="6" xfId="0" applyFont="1" applyFill="1" applyBorder="1" applyAlignment="1">
      <alignment horizontal="left" vertical="center"/>
    </xf>
    <xf numFmtId="0" fontId="8"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7" xfId="0" applyFont="1" applyFill="1" applyBorder="1" applyAlignment="1">
      <alignment horizontal="left" vertical="top" wrapText="1"/>
    </xf>
    <xf numFmtId="0" fontId="8" fillId="0" borderId="0" xfId="0" applyFont="1" applyFill="1" applyBorder="1" applyAlignment="1">
      <alignment horizontal="left" vertical="top"/>
    </xf>
    <xf numFmtId="0" fontId="8" fillId="0" borderId="8" xfId="0" applyFont="1" applyFill="1" applyBorder="1" applyAlignment="1">
      <alignment horizontal="left" vertical="top"/>
    </xf>
    <xf numFmtId="0" fontId="8" fillId="0" borderId="9" xfId="0" applyFont="1" applyFill="1" applyBorder="1" applyAlignment="1">
      <alignment horizontal="left" vertical="top"/>
    </xf>
    <xf numFmtId="0" fontId="8" fillId="0" borderId="10" xfId="0" applyFont="1" applyFill="1" applyBorder="1" applyAlignment="1">
      <alignment horizontal="left" vertical="top"/>
    </xf>
    <xf numFmtId="0" fontId="8" fillId="0" borderId="11" xfId="0" applyFont="1" applyFill="1" applyBorder="1" applyAlignment="1">
      <alignment horizontal="left" vertical="top"/>
    </xf>
    <xf numFmtId="0" fontId="4" fillId="0" borderId="39" xfId="0" applyFont="1" applyFill="1" applyBorder="1" applyAlignment="1">
      <alignment horizontal="center" vertical="center" wrapText="1"/>
    </xf>
    <xf numFmtId="0" fontId="15" fillId="2" borderId="37" xfId="0" applyFont="1" applyFill="1" applyBorder="1" applyAlignment="1">
      <alignment horizontal="left" vertical="center" wrapText="1"/>
    </xf>
    <xf numFmtId="0" fontId="16" fillId="2" borderId="37" xfId="0" applyFont="1" applyFill="1" applyBorder="1" applyAlignment="1">
      <alignment horizontal="left" vertical="center" wrapText="1"/>
    </xf>
    <xf numFmtId="9" fontId="22" fillId="2" borderId="37" xfId="2" applyFont="1" applyFill="1" applyBorder="1" applyAlignment="1">
      <alignment horizontal="center" vertical="center" wrapText="1"/>
    </xf>
    <xf numFmtId="9" fontId="22" fillId="2" borderId="1" xfId="2" applyFont="1" applyFill="1" applyBorder="1" applyAlignment="1">
      <alignment horizontal="center" vertical="center" wrapText="1"/>
    </xf>
    <xf numFmtId="9" fontId="22" fillId="2" borderId="3" xfId="2" applyFont="1" applyFill="1" applyBorder="1" applyAlignment="1">
      <alignment horizontal="center" vertical="center" wrapText="1"/>
    </xf>
    <xf numFmtId="9" fontId="22" fillId="2" borderId="9" xfId="2" applyFont="1" applyFill="1" applyBorder="1" applyAlignment="1">
      <alignment horizontal="center" vertical="center" wrapText="1"/>
    </xf>
    <xf numFmtId="9" fontId="22" fillId="2" borderId="11" xfId="2" applyFont="1" applyFill="1" applyBorder="1" applyAlignment="1">
      <alignment horizontal="center" vertical="center" wrapText="1"/>
    </xf>
    <xf numFmtId="9" fontId="16" fillId="2" borderId="1" xfId="2" applyFont="1" applyFill="1" applyBorder="1" applyAlignment="1">
      <alignment horizontal="center" vertical="center" wrapText="1"/>
    </xf>
    <xf numFmtId="9" fontId="16" fillId="2" borderId="2" xfId="2" applyFont="1" applyFill="1" applyBorder="1" applyAlignment="1">
      <alignment horizontal="center" vertical="center" wrapText="1"/>
    </xf>
    <xf numFmtId="9" fontId="16" fillId="2" borderId="3" xfId="2" applyFont="1" applyFill="1" applyBorder="1" applyAlignment="1">
      <alignment horizontal="center" vertical="center" wrapText="1"/>
    </xf>
    <xf numFmtId="9" fontId="16" fillId="2" borderId="7" xfId="2" applyFont="1" applyFill="1" applyBorder="1" applyAlignment="1">
      <alignment horizontal="center" vertical="center" wrapText="1"/>
    </xf>
    <xf numFmtId="9" fontId="16" fillId="2" borderId="0" xfId="2" applyFont="1" applyFill="1" applyBorder="1" applyAlignment="1">
      <alignment horizontal="center" vertical="center" wrapText="1"/>
    </xf>
    <xf numFmtId="9" fontId="16" fillId="2" borderId="8" xfId="2" applyFont="1" applyFill="1" applyBorder="1" applyAlignment="1">
      <alignment horizontal="center" vertical="center" wrapText="1"/>
    </xf>
    <xf numFmtId="9" fontId="16" fillId="2" borderId="9" xfId="2" applyFont="1" applyFill="1" applyBorder="1" applyAlignment="1">
      <alignment horizontal="center" vertical="center" wrapText="1"/>
    </xf>
    <xf numFmtId="9" fontId="16" fillId="2" borderId="10" xfId="2" applyFont="1" applyFill="1" applyBorder="1" applyAlignment="1">
      <alignment horizontal="center" vertical="center" wrapText="1"/>
    </xf>
    <xf numFmtId="9" fontId="16" fillId="2" borderId="11" xfId="2" applyFont="1" applyFill="1" applyBorder="1" applyAlignment="1">
      <alignment horizontal="center" vertical="center" wrapText="1"/>
    </xf>
    <xf numFmtId="9" fontId="22" fillId="2" borderId="1" xfId="2" applyNumberFormat="1" applyFont="1" applyFill="1" applyBorder="1" applyAlignment="1">
      <alignment horizontal="center" vertical="center" wrapText="1"/>
    </xf>
    <xf numFmtId="9" fontId="22" fillId="2" borderId="2" xfId="2" applyNumberFormat="1" applyFont="1" applyFill="1" applyBorder="1" applyAlignment="1">
      <alignment horizontal="center" vertical="center" wrapText="1"/>
    </xf>
    <xf numFmtId="9" fontId="22" fillId="2" borderId="3" xfId="2" applyNumberFormat="1" applyFont="1" applyFill="1" applyBorder="1" applyAlignment="1">
      <alignment horizontal="center" vertical="center" wrapText="1"/>
    </xf>
    <xf numFmtId="9" fontId="22" fillId="2" borderId="7" xfId="2" applyNumberFormat="1" applyFont="1" applyFill="1" applyBorder="1" applyAlignment="1">
      <alignment horizontal="center" vertical="center" wrapText="1"/>
    </xf>
    <xf numFmtId="9" fontId="22" fillId="2" borderId="0" xfId="2" applyNumberFormat="1" applyFont="1" applyFill="1" applyBorder="1" applyAlignment="1">
      <alignment horizontal="center" vertical="center" wrapText="1"/>
    </xf>
    <xf numFmtId="9" fontId="22" fillId="2" borderId="8" xfId="2" applyNumberFormat="1" applyFont="1" applyFill="1" applyBorder="1" applyAlignment="1">
      <alignment horizontal="center" vertical="center" wrapText="1"/>
    </xf>
    <xf numFmtId="9" fontId="22" fillId="2" borderId="9" xfId="2" applyNumberFormat="1" applyFont="1" applyFill="1" applyBorder="1" applyAlignment="1">
      <alignment horizontal="center" vertical="center" wrapText="1"/>
    </xf>
    <xf numFmtId="9" fontId="22" fillId="2" borderId="10" xfId="2" applyNumberFormat="1" applyFont="1" applyFill="1" applyBorder="1" applyAlignment="1">
      <alignment horizontal="center" vertical="center" wrapText="1"/>
    </xf>
    <xf numFmtId="9" fontId="22" fillId="2" borderId="11" xfId="2" applyNumberFormat="1" applyFont="1" applyFill="1" applyBorder="1" applyAlignment="1">
      <alignment horizontal="center" vertical="center" wrapText="1"/>
    </xf>
    <xf numFmtId="9" fontId="15" fillId="2" borderId="1" xfId="2" applyFont="1" applyFill="1" applyBorder="1" applyAlignment="1">
      <alignment horizontal="center" vertical="center" wrapText="1"/>
    </xf>
    <xf numFmtId="9" fontId="15" fillId="2" borderId="2" xfId="2" applyFont="1" applyFill="1" applyBorder="1" applyAlignment="1">
      <alignment horizontal="center" vertical="center" wrapText="1"/>
    </xf>
    <xf numFmtId="9" fontId="15" fillId="2" borderId="3" xfId="2" applyFont="1" applyFill="1" applyBorder="1" applyAlignment="1">
      <alignment horizontal="center" vertical="center" wrapText="1"/>
    </xf>
    <xf numFmtId="9" fontId="15" fillId="2" borderId="7" xfId="2" applyFont="1" applyFill="1" applyBorder="1" applyAlignment="1">
      <alignment horizontal="center" vertical="center" wrapText="1"/>
    </xf>
    <xf numFmtId="9" fontId="15" fillId="2" borderId="0" xfId="2" applyFont="1" applyFill="1" applyBorder="1" applyAlignment="1">
      <alignment horizontal="center" vertical="center" wrapText="1"/>
    </xf>
    <xf numFmtId="9" fontId="15" fillId="2" borderId="8" xfId="2" applyFont="1" applyFill="1" applyBorder="1" applyAlignment="1">
      <alignment horizontal="center" vertical="center" wrapText="1"/>
    </xf>
    <xf numFmtId="9" fontId="15" fillId="2" borderId="9" xfId="2" applyFont="1" applyFill="1" applyBorder="1" applyAlignment="1">
      <alignment horizontal="center" vertical="center" wrapText="1"/>
    </xf>
    <xf numFmtId="9" fontId="15" fillId="2" borderId="10" xfId="2" applyFont="1" applyFill="1" applyBorder="1" applyAlignment="1">
      <alignment horizontal="center" vertical="center" wrapText="1"/>
    </xf>
    <xf numFmtId="9" fontId="15" fillId="2" borderId="11" xfId="2"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22" fillId="2" borderId="37" xfId="0" applyFont="1" applyFill="1" applyBorder="1" applyAlignment="1">
      <alignment horizontal="left" vertical="center" wrapText="1"/>
    </xf>
    <xf numFmtId="9" fontId="15" fillId="2" borderId="37" xfId="2" applyFont="1" applyFill="1" applyBorder="1" applyAlignment="1">
      <alignment horizontal="center" vertical="center" wrapText="1"/>
    </xf>
    <xf numFmtId="0" fontId="0" fillId="0" borderId="0" xfId="0" applyFont="1" applyAlignment="1">
      <alignment horizontal="center"/>
    </xf>
    <xf numFmtId="0" fontId="13" fillId="0" borderId="33" xfId="0" applyFont="1" applyBorder="1" applyAlignment="1">
      <alignment horizontal="center"/>
    </xf>
    <xf numFmtId="0" fontId="13" fillId="0" borderId="27" xfId="0" applyFont="1" applyBorder="1" applyAlignment="1">
      <alignment horizontal="left" vertical="center" wrapText="1"/>
    </xf>
    <xf numFmtId="0" fontId="13" fillId="0" borderId="30" xfId="0" applyFont="1" applyBorder="1" applyAlignment="1">
      <alignment horizontal="left" vertical="center" wrapText="1"/>
    </xf>
    <xf numFmtId="0" fontId="13" fillId="0" borderId="26" xfId="0" applyFont="1" applyBorder="1" applyAlignment="1">
      <alignment horizontal="center"/>
    </xf>
    <xf numFmtId="0" fontId="13" fillId="0" borderId="24" xfId="0" applyFont="1" applyBorder="1" applyAlignment="1">
      <alignment horizontal="center"/>
    </xf>
    <xf numFmtId="9" fontId="13" fillId="0" borderId="25" xfId="2" applyFont="1" applyBorder="1" applyAlignment="1">
      <alignment horizontal="center" vertical="center"/>
    </xf>
    <xf numFmtId="0" fontId="13" fillId="0" borderId="28" xfId="0" applyFont="1" applyBorder="1" applyAlignment="1">
      <alignment horizontal="left" vertical="center"/>
    </xf>
    <xf numFmtId="0" fontId="13" fillId="0" borderId="25" xfId="0" applyFont="1" applyBorder="1" applyAlignment="1">
      <alignment horizontal="left" vertical="center"/>
    </xf>
    <xf numFmtId="0" fontId="13" fillId="0" borderId="28" xfId="0" applyFont="1" applyBorder="1" applyAlignment="1">
      <alignment horizontal="left" vertical="center" wrapText="1"/>
    </xf>
    <xf numFmtId="0" fontId="13" fillId="0" borderId="25" xfId="0" applyFont="1" applyBorder="1" applyAlignment="1">
      <alignment horizontal="left" vertical="center" wrapText="1"/>
    </xf>
    <xf numFmtId="9" fontId="13" fillId="0" borderId="25" xfId="0" applyNumberFormat="1" applyFont="1" applyBorder="1" applyAlignment="1">
      <alignment horizontal="center" vertical="center"/>
    </xf>
    <xf numFmtId="0" fontId="13" fillId="0" borderId="25" xfId="0" applyFont="1" applyBorder="1" applyAlignment="1">
      <alignment horizontal="center" vertical="center"/>
    </xf>
    <xf numFmtId="0" fontId="13" fillId="0" borderId="25" xfId="0" applyFont="1" applyBorder="1" applyAlignment="1">
      <alignment horizontal="center"/>
    </xf>
    <xf numFmtId="9" fontId="13" fillId="0" borderId="33" xfId="2" applyFont="1" applyBorder="1" applyAlignment="1">
      <alignment horizontal="center" vertical="center"/>
    </xf>
    <xf numFmtId="0" fontId="13" fillId="0" borderId="35" xfId="0" applyFont="1" applyBorder="1" applyAlignment="1">
      <alignment horizontal="center"/>
    </xf>
    <xf numFmtId="0" fontId="13" fillId="0" borderId="36" xfId="0" applyFont="1" applyBorder="1" applyAlignment="1">
      <alignment horizontal="center"/>
    </xf>
    <xf numFmtId="0" fontId="13" fillId="0" borderId="29" xfId="0" applyFont="1" applyBorder="1" applyAlignment="1">
      <alignment horizontal="left" vertical="center" wrapText="1"/>
    </xf>
    <xf numFmtId="0" fontId="13" fillId="0" borderId="31" xfId="0" applyFont="1" applyBorder="1" applyAlignment="1">
      <alignment horizontal="left" vertical="center" wrapText="1"/>
    </xf>
  </cellXfs>
  <cellStyles count="7">
    <cellStyle name="Énfasis4" xfId="6" builtinId="41"/>
    <cellStyle name="Hipervínculo" xfId="5" builtinId="8"/>
    <cellStyle name="Millares" xfId="1" builtinId="3"/>
    <cellStyle name="Millares [0]" xfId="4" builtinId="6"/>
    <cellStyle name="Millares [0] 2" xfId="3"/>
    <cellStyle name="Normal" xfId="0" builtinId="0"/>
    <cellStyle name="Porcentaje" xfId="2" builtinId="5"/>
  </cellStyles>
  <dxfs count="0"/>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40.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5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36795909633391E-2"/>
          <c:y val="5.8322201177794804E-2"/>
          <c:w val="0.82902566839071934"/>
          <c:h val="0.83310359814264623"/>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0B2-4A5D-87FD-80DC6C5B409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0B2-4A5D-87FD-80DC6C5B409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0B2-4A5D-87FD-80DC6C5B409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0B2-4A5D-87FD-80DC6C5B409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0B2-4A5D-87FD-80DC6C5B409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0B2-4A5D-87FD-80DC6C5B409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0B2-4A5D-87FD-80DC6C5B409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0B2-4A5D-87FD-80DC6C5B409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0B2-4A5D-87FD-80DC6C5B409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0B2-4A5D-87FD-80DC6C5B409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0B2-4A5D-87FD-80DC6C5B4096}"/>
              </c:ext>
            </c:extLst>
          </c:dPt>
          <c:dLbls>
            <c:dLbl>
              <c:idx val="0"/>
              <c:layout>
                <c:manualLayout>
                  <c:x val="-8.115104871760824E-2"/>
                  <c:y val="-8.164777660196147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0B2-4A5D-87FD-80DC6C5B4096}"/>
                </c:ext>
                <c:ext xmlns:c15="http://schemas.microsoft.com/office/drawing/2012/chart" uri="{CE6537A1-D6FC-4f65-9D91-7224C49458BB}">
                  <c15:layout>
                    <c:manualLayout>
                      <c:w val="0.10876609027863708"/>
                      <c:h val="8.2082183710621662E-2"/>
                    </c:manualLayout>
                  </c15:layout>
                </c:ext>
              </c:extLst>
            </c:dLbl>
            <c:dLbl>
              <c:idx val="1"/>
              <c:layout>
                <c:manualLayout>
                  <c:x val="-6.0127645103563956E-2"/>
                  <c:y val="-8.7871161119965749E-2"/>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0B2-4A5D-87FD-80DC6C5B4096}"/>
                </c:ext>
                <c:ext xmlns:c15="http://schemas.microsoft.com/office/drawing/2012/chart" uri="{CE6537A1-D6FC-4f65-9D91-7224C49458BB}"/>
              </c:extLst>
            </c:dLbl>
            <c:dLbl>
              <c:idx val="2"/>
              <c:layout>
                <c:manualLayout>
                  <c:x val="-2.7161233360762142E-2"/>
                  <c:y val="-0.1009755404506061"/>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0B2-4A5D-87FD-80DC6C5B4096}"/>
                </c:ext>
                <c:ext xmlns:c15="http://schemas.microsoft.com/office/drawing/2012/chart" uri="{CE6537A1-D6FC-4f65-9D91-7224C49458BB}"/>
              </c:extLst>
            </c:dLbl>
            <c:dLbl>
              <c:idx val="3"/>
              <c:layout>
                <c:manualLayout>
                  <c:x val="-1.2730099935936926E-3"/>
                  <c:y val="-0.11218656580314168"/>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0B2-4A5D-87FD-80DC6C5B4096}"/>
                </c:ext>
                <c:ext xmlns:c15="http://schemas.microsoft.com/office/drawing/2012/chart" uri="{CE6537A1-D6FC-4f65-9D91-7224C49458BB}"/>
              </c:extLst>
            </c:dLbl>
            <c:dLbl>
              <c:idx val="4"/>
              <c:layout>
                <c:manualLayout>
                  <c:x val="3.3444821925196232E-2"/>
                  <c:y val="-0.10802042907029784"/>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0B2-4A5D-87FD-80DC6C5B4096}"/>
                </c:ext>
                <c:ext xmlns:c15="http://schemas.microsoft.com/office/drawing/2012/chart" uri="{CE6537A1-D6FC-4f65-9D91-7224C49458BB}"/>
              </c:extLst>
            </c:dLbl>
            <c:dLbl>
              <c:idx val="5"/>
              <c:layout>
                <c:manualLayout>
                  <c:x val="6.0325966567651761E-2"/>
                  <c:y val="-9.4344719499827631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A0B2-4A5D-87FD-80DC6C5B4096}"/>
                </c:ext>
                <c:ext xmlns:c15="http://schemas.microsoft.com/office/drawing/2012/chart" uri="{CE6537A1-D6FC-4f65-9D91-7224C49458BB}">
                  <c15:layout>
                    <c:manualLayout>
                      <c:w val="9.3522592681361594E-2"/>
                      <c:h val="5.3779310860528881E-2"/>
                    </c:manualLayout>
                  </c15:layout>
                </c:ext>
              </c:extLst>
            </c:dLbl>
            <c:dLbl>
              <c:idx val="6"/>
              <c:layout>
                <c:manualLayout>
                  <c:x val="0.11201590414919636"/>
                  <c:y val="-5.2973602383434612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0B2-4A5D-87FD-80DC6C5B4096}"/>
                </c:ext>
                <c:ext xmlns:c15="http://schemas.microsoft.com/office/drawing/2012/chart" uri="{CE6537A1-D6FC-4f65-9D91-7224C49458BB}"/>
              </c:extLst>
            </c:dLbl>
            <c:dLbl>
              <c:idx val="7"/>
              <c:layout>
                <c:manualLayout>
                  <c:x val="0.13833251043085401"/>
                  <c:y val="-5.2333972515642681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0B2-4A5D-87FD-80DC6C5B4096}"/>
                </c:ext>
                <c:ext xmlns:c15="http://schemas.microsoft.com/office/drawing/2012/chart" uri="{CE6537A1-D6FC-4f65-9D91-7224C49458BB}"/>
              </c:extLst>
            </c:dLbl>
            <c:dLbl>
              <c:idx val="8"/>
              <c:layout>
                <c:manualLayout>
                  <c:x val="8.2813417044288851E-2"/>
                  <c:y val="-4.7836328151289482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0B2-4A5D-87FD-80DC6C5B4096}"/>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0B2-4A5D-87FD-80DC6C5B409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A0B2-4A5D-87FD-80DC6C5B409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0B2-4A5D-87FD-80DC6C5B4096}"/>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base!#REF!</c:f>
            </c:numRef>
          </c:xVal>
          <c:yVal>
            <c:numRef>
              <c:f>base!#REF!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A-A0B2-4A5D-87FD-80DC6C5B4096}"/>
            </c:ext>
          </c:extLst>
        </c:ser>
        <c:dLbls>
          <c:showLegendKey val="0"/>
          <c:showVal val="0"/>
          <c:showCatName val="0"/>
          <c:showSerName val="0"/>
          <c:showPercent val="0"/>
          <c:showBubbleSize val="0"/>
        </c:dLbls>
        <c:axId val="187443320"/>
        <c:axId val="187442928"/>
      </c:scatterChart>
      <c:valAx>
        <c:axId val="187442928"/>
        <c:scaling>
          <c:orientation val="minMax"/>
          <c:max val="1"/>
          <c:min val="-1"/>
        </c:scaling>
        <c:delete val="1"/>
        <c:axPos val="l"/>
        <c:numFmt formatCode="General" sourceLinked="1"/>
        <c:majorTickMark val="out"/>
        <c:minorTickMark val="none"/>
        <c:tickLblPos val="nextTo"/>
        <c:crossAx val="187443320"/>
        <c:crosses val="autoZero"/>
        <c:crossBetween val="midCat"/>
      </c:valAx>
      <c:valAx>
        <c:axId val="187443320"/>
        <c:scaling>
          <c:orientation val="minMax"/>
          <c:max val="1"/>
          <c:min val="-1"/>
        </c:scaling>
        <c:delete val="1"/>
        <c:axPos val="b"/>
        <c:numFmt formatCode="General" sourceLinked="1"/>
        <c:majorTickMark val="out"/>
        <c:minorTickMark val="none"/>
        <c:tickLblPos val="nextTo"/>
        <c:crossAx val="187442928"/>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1A8C-4B87-A053-93CCB6B6D1B1}"/>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1A8C-4B87-A053-93CCB6B6D1B1}"/>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1A8C-4B87-A053-93CCB6B6D1B1}"/>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1A8C-4B87-A053-93CCB6B6D1B1}"/>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1A8C-4B87-A053-93CCB6B6D1B1}"/>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1A8C-4B87-A053-93CCB6B6D1B1}"/>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1A8C-4B87-A053-93CCB6B6D1B1}"/>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1A8C-4B87-A053-93CCB6B6D1B1}"/>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1A8C-4B87-A053-93CCB6B6D1B1}"/>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1A8C-4B87-A053-93CCB6B6D1B1}"/>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1A8C-4B87-A053-93CCB6B6D1B1}"/>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1A8C-4B87-A053-93CCB6B6D1B1}"/>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1A8C-4B87-A053-93CCB6B6D1B1}"/>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1A8C-4B87-A053-93CCB6B6D1B1}"/>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1A8C-4B87-A053-93CCB6B6D1B1}"/>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1A8C-4B87-A053-93CCB6B6D1B1}"/>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1A8C-4B87-A053-93CCB6B6D1B1}"/>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1A8C-4B87-A053-93CCB6B6D1B1}"/>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1A8C-4B87-A053-93CCB6B6D1B1}"/>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1A8C-4B87-A053-93CCB6B6D1B1}"/>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1A8C-4B87-A053-93CCB6B6D1B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1A8C-4B87-A053-93CCB6B6D1B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1A8C-4B87-A053-93CCB6B6D1B1}"/>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1A8C-4B87-A053-93CCB6B6D1B1}"/>
            </c:ext>
          </c:extLst>
        </c:ser>
        <c:dLbls>
          <c:showLegendKey val="0"/>
          <c:showVal val="0"/>
          <c:showCatName val="0"/>
          <c:showSerName val="0"/>
          <c:showPercent val="0"/>
          <c:showBubbleSize val="0"/>
        </c:dLbls>
        <c:axId val="255796808"/>
        <c:axId val="255796416"/>
      </c:scatterChart>
      <c:valAx>
        <c:axId val="255796416"/>
        <c:scaling>
          <c:orientation val="minMax"/>
          <c:max val="1"/>
          <c:min val="-1"/>
        </c:scaling>
        <c:delete val="1"/>
        <c:axPos val="l"/>
        <c:numFmt formatCode="General" sourceLinked="1"/>
        <c:majorTickMark val="out"/>
        <c:minorTickMark val="none"/>
        <c:tickLblPos val="nextTo"/>
        <c:crossAx val="255796808"/>
        <c:crosses val="autoZero"/>
        <c:crossBetween val="midCat"/>
      </c:valAx>
      <c:valAx>
        <c:axId val="255796808"/>
        <c:scaling>
          <c:orientation val="minMax"/>
          <c:max val="1"/>
          <c:min val="-1"/>
        </c:scaling>
        <c:delete val="1"/>
        <c:axPos val="b"/>
        <c:numFmt formatCode="General" sourceLinked="1"/>
        <c:majorTickMark val="out"/>
        <c:minorTickMark val="none"/>
        <c:tickLblPos val="nextTo"/>
        <c:crossAx val="255796416"/>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5797984"/>
        <c:axId val="255797592"/>
      </c:scatterChart>
      <c:valAx>
        <c:axId val="255797592"/>
        <c:scaling>
          <c:orientation val="minMax"/>
          <c:max val="1"/>
          <c:min val="-1"/>
        </c:scaling>
        <c:delete val="1"/>
        <c:axPos val="l"/>
        <c:numFmt formatCode="General" sourceLinked="1"/>
        <c:majorTickMark val="out"/>
        <c:minorTickMark val="none"/>
        <c:tickLblPos val="nextTo"/>
        <c:crossAx val="255797984"/>
        <c:crosses val="autoZero"/>
        <c:crossBetween val="midCat"/>
      </c:valAx>
      <c:valAx>
        <c:axId val="255797984"/>
        <c:scaling>
          <c:orientation val="minMax"/>
          <c:max val="1"/>
          <c:min val="-1"/>
        </c:scaling>
        <c:delete val="1"/>
        <c:axPos val="b"/>
        <c:numFmt formatCode="General" sourceLinked="1"/>
        <c:majorTickMark val="out"/>
        <c:minorTickMark val="none"/>
        <c:tickLblPos val="nextTo"/>
        <c:crossAx val="255797592"/>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CE42-44AD-9BB2-7A1F8EB8183A}"/>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CE42-44AD-9BB2-7A1F8EB8183A}"/>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CE42-44AD-9BB2-7A1F8EB8183A}"/>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CE42-44AD-9BB2-7A1F8EB8183A}"/>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CE42-44AD-9BB2-7A1F8EB8183A}"/>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CE42-44AD-9BB2-7A1F8EB8183A}"/>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CE42-44AD-9BB2-7A1F8EB8183A}"/>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CE42-44AD-9BB2-7A1F8EB8183A}"/>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CE42-44AD-9BB2-7A1F8EB8183A}"/>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CE42-44AD-9BB2-7A1F8EB8183A}"/>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CE42-44AD-9BB2-7A1F8EB8183A}"/>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CE42-44AD-9BB2-7A1F8EB8183A}"/>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CE42-44AD-9BB2-7A1F8EB8183A}"/>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CE42-44AD-9BB2-7A1F8EB8183A}"/>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CE42-44AD-9BB2-7A1F8EB8183A}"/>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CE42-44AD-9BB2-7A1F8EB8183A}"/>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CE42-44AD-9BB2-7A1F8EB8183A}"/>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CE42-44AD-9BB2-7A1F8EB8183A}"/>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CE42-44AD-9BB2-7A1F8EB8183A}"/>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CE42-44AD-9BB2-7A1F8EB8183A}"/>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CE42-44AD-9BB2-7A1F8EB8183A}"/>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CE42-44AD-9BB2-7A1F8EB8183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CE42-44AD-9BB2-7A1F8EB8183A}"/>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CE42-44AD-9BB2-7A1F8EB8183A}"/>
            </c:ext>
          </c:extLst>
        </c:ser>
        <c:dLbls>
          <c:showLegendKey val="0"/>
          <c:showVal val="0"/>
          <c:showCatName val="0"/>
          <c:showSerName val="0"/>
          <c:showPercent val="0"/>
          <c:showBubbleSize val="0"/>
        </c:dLbls>
        <c:axId val="256628464"/>
        <c:axId val="256628072"/>
      </c:scatterChart>
      <c:valAx>
        <c:axId val="256628072"/>
        <c:scaling>
          <c:orientation val="minMax"/>
          <c:max val="1"/>
          <c:min val="-1"/>
        </c:scaling>
        <c:delete val="1"/>
        <c:axPos val="l"/>
        <c:numFmt formatCode="General" sourceLinked="1"/>
        <c:majorTickMark val="out"/>
        <c:minorTickMark val="none"/>
        <c:tickLblPos val="nextTo"/>
        <c:crossAx val="256628464"/>
        <c:crosses val="autoZero"/>
        <c:crossBetween val="midCat"/>
      </c:valAx>
      <c:valAx>
        <c:axId val="256628464"/>
        <c:scaling>
          <c:orientation val="minMax"/>
          <c:max val="1"/>
          <c:min val="-1"/>
        </c:scaling>
        <c:delete val="1"/>
        <c:axPos val="b"/>
        <c:numFmt formatCode="General" sourceLinked="1"/>
        <c:majorTickMark val="out"/>
        <c:minorTickMark val="none"/>
        <c:tickLblPos val="nextTo"/>
        <c:crossAx val="256628072"/>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6629640"/>
        <c:axId val="256629248"/>
      </c:scatterChart>
      <c:valAx>
        <c:axId val="256629248"/>
        <c:scaling>
          <c:orientation val="minMax"/>
          <c:max val="1"/>
          <c:min val="-1"/>
        </c:scaling>
        <c:delete val="1"/>
        <c:axPos val="l"/>
        <c:numFmt formatCode="General" sourceLinked="1"/>
        <c:majorTickMark val="out"/>
        <c:minorTickMark val="none"/>
        <c:tickLblPos val="nextTo"/>
        <c:crossAx val="256629640"/>
        <c:crosses val="autoZero"/>
        <c:crossBetween val="midCat"/>
      </c:valAx>
      <c:valAx>
        <c:axId val="256629640"/>
        <c:scaling>
          <c:orientation val="minMax"/>
          <c:max val="1"/>
          <c:min val="-1"/>
        </c:scaling>
        <c:delete val="1"/>
        <c:axPos val="b"/>
        <c:numFmt formatCode="General" sourceLinked="1"/>
        <c:majorTickMark val="out"/>
        <c:minorTickMark val="none"/>
        <c:tickLblPos val="nextTo"/>
        <c:crossAx val="256629248"/>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6630816"/>
        <c:axId val="256630424"/>
      </c:scatterChart>
      <c:valAx>
        <c:axId val="256630424"/>
        <c:scaling>
          <c:orientation val="minMax"/>
          <c:max val="1"/>
          <c:min val="-1"/>
        </c:scaling>
        <c:delete val="1"/>
        <c:axPos val="l"/>
        <c:numFmt formatCode="General" sourceLinked="1"/>
        <c:majorTickMark val="out"/>
        <c:minorTickMark val="none"/>
        <c:tickLblPos val="nextTo"/>
        <c:crossAx val="256630816"/>
        <c:crosses val="autoZero"/>
        <c:crossBetween val="midCat"/>
      </c:valAx>
      <c:valAx>
        <c:axId val="256630816"/>
        <c:scaling>
          <c:orientation val="minMax"/>
          <c:max val="1"/>
          <c:min val="-1"/>
        </c:scaling>
        <c:delete val="1"/>
        <c:axPos val="b"/>
        <c:numFmt formatCode="General" sourceLinked="1"/>
        <c:majorTickMark val="out"/>
        <c:minorTickMark val="none"/>
        <c:tickLblPos val="nextTo"/>
        <c:crossAx val="256630424"/>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6631992"/>
        <c:axId val="256631600"/>
      </c:scatterChart>
      <c:valAx>
        <c:axId val="256631600"/>
        <c:scaling>
          <c:orientation val="minMax"/>
          <c:max val="1"/>
          <c:min val="-1"/>
        </c:scaling>
        <c:delete val="1"/>
        <c:axPos val="l"/>
        <c:numFmt formatCode="General" sourceLinked="1"/>
        <c:majorTickMark val="out"/>
        <c:minorTickMark val="none"/>
        <c:tickLblPos val="nextTo"/>
        <c:crossAx val="256631992"/>
        <c:crosses val="autoZero"/>
        <c:crossBetween val="midCat"/>
      </c:valAx>
      <c:valAx>
        <c:axId val="256631992"/>
        <c:scaling>
          <c:orientation val="minMax"/>
          <c:max val="1"/>
          <c:min val="-1"/>
        </c:scaling>
        <c:delete val="1"/>
        <c:axPos val="b"/>
        <c:numFmt formatCode="General" sourceLinked="1"/>
        <c:majorTickMark val="out"/>
        <c:minorTickMark val="none"/>
        <c:tickLblPos val="nextTo"/>
        <c:crossAx val="256631600"/>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6633168"/>
        <c:axId val="256632776"/>
      </c:scatterChart>
      <c:valAx>
        <c:axId val="256632776"/>
        <c:scaling>
          <c:orientation val="minMax"/>
          <c:max val="1"/>
          <c:min val="-1"/>
        </c:scaling>
        <c:delete val="1"/>
        <c:axPos val="l"/>
        <c:numFmt formatCode="General" sourceLinked="1"/>
        <c:majorTickMark val="out"/>
        <c:minorTickMark val="none"/>
        <c:tickLblPos val="nextTo"/>
        <c:crossAx val="256633168"/>
        <c:crosses val="autoZero"/>
        <c:crossBetween val="midCat"/>
      </c:valAx>
      <c:valAx>
        <c:axId val="256633168"/>
        <c:scaling>
          <c:orientation val="minMax"/>
          <c:max val="1"/>
          <c:min val="-1"/>
        </c:scaling>
        <c:delete val="1"/>
        <c:axPos val="b"/>
        <c:numFmt formatCode="General" sourceLinked="1"/>
        <c:majorTickMark val="out"/>
        <c:minorTickMark val="none"/>
        <c:tickLblPos val="nextTo"/>
        <c:crossAx val="256632776"/>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6634344"/>
        <c:axId val="256633952"/>
      </c:scatterChart>
      <c:valAx>
        <c:axId val="256633952"/>
        <c:scaling>
          <c:orientation val="minMax"/>
          <c:max val="1"/>
          <c:min val="-1"/>
        </c:scaling>
        <c:delete val="1"/>
        <c:axPos val="l"/>
        <c:numFmt formatCode="General" sourceLinked="1"/>
        <c:majorTickMark val="out"/>
        <c:minorTickMark val="none"/>
        <c:tickLblPos val="nextTo"/>
        <c:crossAx val="256634344"/>
        <c:crosses val="autoZero"/>
        <c:crossBetween val="midCat"/>
      </c:valAx>
      <c:valAx>
        <c:axId val="256634344"/>
        <c:scaling>
          <c:orientation val="minMax"/>
          <c:max val="1"/>
          <c:min val="-1"/>
        </c:scaling>
        <c:delete val="1"/>
        <c:axPos val="b"/>
        <c:numFmt formatCode="General" sourceLinked="1"/>
        <c:majorTickMark val="out"/>
        <c:minorTickMark val="none"/>
        <c:tickLblPos val="nextTo"/>
        <c:crossAx val="256633952"/>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6635520"/>
        <c:axId val="256635128"/>
      </c:scatterChart>
      <c:valAx>
        <c:axId val="256635128"/>
        <c:scaling>
          <c:orientation val="minMax"/>
          <c:max val="1"/>
          <c:min val="-1"/>
        </c:scaling>
        <c:delete val="1"/>
        <c:axPos val="l"/>
        <c:numFmt formatCode="General" sourceLinked="1"/>
        <c:majorTickMark val="out"/>
        <c:minorTickMark val="none"/>
        <c:tickLblPos val="nextTo"/>
        <c:crossAx val="256635520"/>
        <c:crosses val="autoZero"/>
        <c:crossBetween val="midCat"/>
      </c:valAx>
      <c:valAx>
        <c:axId val="256635520"/>
        <c:scaling>
          <c:orientation val="minMax"/>
          <c:max val="1"/>
          <c:min val="-1"/>
        </c:scaling>
        <c:delete val="1"/>
        <c:axPos val="b"/>
        <c:numFmt formatCode="General" sourceLinked="1"/>
        <c:majorTickMark val="out"/>
        <c:minorTickMark val="none"/>
        <c:tickLblPos val="nextTo"/>
        <c:crossAx val="256635128"/>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8314560"/>
        <c:axId val="258314168"/>
      </c:scatterChart>
      <c:valAx>
        <c:axId val="258314168"/>
        <c:scaling>
          <c:orientation val="minMax"/>
          <c:max val="1"/>
          <c:min val="-1"/>
        </c:scaling>
        <c:delete val="1"/>
        <c:axPos val="l"/>
        <c:numFmt formatCode="General" sourceLinked="1"/>
        <c:majorTickMark val="out"/>
        <c:minorTickMark val="none"/>
        <c:tickLblPos val="nextTo"/>
        <c:crossAx val="258314560"/>
        <c:crosses val="autoZero"/>
        <c:crossBetween val="midCat"/>
      </c:valAx>
      <c:valAx>
        <c:axId val="258314560"/>
        <c:scaling>
          <c:orientation val="minMax"/>
          <c:max val="1"/>
          <c:min val="-1"/>
        </c:scaling>
        <c:delete val="1"/>
        <c:axPos val="b"/>
        <c:numFmt formatCode="General" sourceLinked="1"/>
        <c:majorTickMark val="out"/>
        <c:minorTickMark val="none"/>
        <c:tickLblPos val="nextTo"/>
        <c:crossAx val="258314168"/>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187444888"/>
        <c:axId val="187444496"/>
      </c:scatterChart>
      <c:valAx>
        <c:axId val="187444496"/>
        <c:scaling>
          <c:orientation val="minMax"/>
          <c:max val="1"/>
          <c:min val="-1"/>
        </c:scaling>
        <c:delete val="1"/>
        <c:axPos val="l"/>
        <c:numFmt formatCode="General" sourceLinked="1"/>
        <c:majorTickMark val="out"/>
        <c:minorTickMark val="none"/>
        <c:tickLblPos val="nextTo"/>
        <c:crossAx val="187444888"/>
        <c:crosses val="autoZero"/>
        <c:crossBetween val="midCat"/>
      </c:valAx>
      <c:valAx>
        <c:axId val="187444888"/>
        <c:scaling>
          <c:orientation val="minMax"/>
          <c:max val="1"/>
          <c:min val="-1"/>
        </c:scaling>
        <c:delete val="1"/>
        <c:axPos val="b"/>
        <c:numFmt formatCode="General" sourceLinked="1"/>
        <c:majorTickMark val="out"/>
        <c:minorTickMark val="none"/>
        <c:tickLblPos val="nextTo"/>
        <c:crossAx val="187444496"/>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8315736"/>
        <c:axId val="258315344"/>
      </c:scatterChart>
      <c:valAx>
        <c:axId val="258315344"/>
        <c:scaling>
          <c:orientation val="minMax"/>
          <c:max val="1"/>
          <c:min val="-1"/>
        </c:scaling>
        <c:delete val="1"/>
        <c:axPos val="l"/>
        <c:numFmt formatCode="General" sourceLinked="1"/>
        <c:majorTickMark val="out"/>
        <c:minorTickMark val="none"/>
        <c:tickLblPos val="nextTo"/>
        <c:crossAx val="258315736"/>
        <c:crosses val="autoZero"/>
        <c:crossBetween val="midCat"/>
      </c:valAx>
      <c:valAx>
        <c:axId val="258315736"/>
        <c:scaling>
          <c:orientation val="minMax"/>
          <c:max val="1"/>
          <c:min val="-1"/>
        </c:scaling>
        <c:delete val="1"/>
        <c:axPos val="b"/>
        <c:numFmt formatCode="General" sourceLinked="1"/>
        <c:majorTickMark val="out"/>
        <c:minorTickMark val="none"/>
        <c:tickLblPos val="nextTo"/>
        <c:crossAx val="258315344"/>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8317304"/>
        <c:axId val="258316912"/>
      </c:scatterChart>
      <c:valAx>
        <c:axId val="258316912"/>
        <c:scaling>
          <c:orientation val="minMax"/>
          <c:max val="1"/>
          <c:min val="-1"/>
        </c:scaling>
        <c:delete val="1"/>
        <c:axPos val="l"/>
        <c:numFmt formatCode="General" sourceLinked="1"/>
        <c:majorTickMark val="out"/>
        <c:minorTickMark val="none"/>
        <c:tickLblPos val="nextTo"/>
        <c:crossAx val="258317304"/>
        <c:crosses val="autoZero"/>
        <c:crossBetween val="midCat"/>
      </c:valAx>
      <c:valAx>
        <c:axId val="258317304"/>
        <c:scaling>
          <c:orientation val="minMax"/>
          <c:max val="1"/>
          <c:min val="-1"/>
        </c:scaling>
        <c:delete val="1"/>
        <c:axPos val="b"/>
        <c:numFmt formatCode="General" sourceLinked="1"/>
        <c:majorTickMark val="out"/>
        <c:minorTickMark val="none"/>
        <c:tickLblPos val="nextTo"/>
        <c:crossAx val="258316912"/>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'[3]MATRIZ DE SEGUIMIENTO OBJETIVOS'!$Q$51</c:f>
              <c:numCache>
                <c:formatCode>General</c:formatCode>
                <c:ptCount val="1"/>
              </c:numCache>
            </c:numRef>
          </c:xVal>
          <c:yVal>
            <c:numRef>
              <c:f>'[3]MATRIZ DE SEGUIMIENTO OBJETIVOS'!$R$51</c:f>
              <c:numCache>
                <c:formatCode>General</c:formatCode>
                <c:ptCount val="1"/>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8318088"/>
        <c:axId val="258317696"/>
      </c:scatterChart>
      <c:valAx>
        <c:axId val="258317696"/>
        <c:scaling>
          <c:orientation val="minMax"/>
          <c:max val="1"/>
          <c:min val="-1"/>
        </c:scaling>
        <c:delete val="1"/>
        <c:axPos val="l"/>
        <c:numFmt formatCode="General" sourceLinked="1"/>
        <c:majorTickMark val="out"/>
        <c:minorTickMark val="none"/>
        <c:tickLblPos val="nextTo"/>
        <c:crossAx val="258318088"/>
        <c:crosses val="autoZero"/>
        <c:crossBetween val="midCat"/>
      </c:valAx>
      <c:valAx>
        <c:axId val="258318088"/>
        <c:scaling>
          <c:orientation val="minMax"/>
          <c:max val="1"/>
          <c:min val="-1"/>
        </c:scaling>
        <c:delete val="1"/>
        <c:axPos val="b"/>
        <c:numFmt formatCode="General" sourceLinked="1"/>
        <c:majorTickMark val="out"/>
        <c:minorTickMark val="none"/>
        <c:tickLblPos val="nextTo"/>
        <c:crossAx val="258317696"/>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36795909633391E-2"/>
          <c:y val="5.8322201177794804E-2"/>
          <c:w val="0.82902566839071934"/>
          <c:h val="0.83310359814264623"/>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0B2-4A5D-87FD-80DC6C5B409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0B2-4A5D-87FD-80DC6C5B409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0B2-4A5D-87FD-80DC6C5B409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0B2-4A5D-87FD-80DC6C5B409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0B2-4A5D-87FD-80DC6C5B409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0B2-4A5D-87FD-80DC6C5B409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0B2-4A5D-87FD-80DC6C5B409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0B2-4A5D-87FD-80DC6C5B409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0B2-4A5D-87FD-80DC6C5B409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0B2-4A5D-87FD-80DC6C5B409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0B2-4A5D-87FD-80DC6C5B4096}"/>
              </c:ext>
            </c:extLst>
          </c:dPt>
          <c:dLbls>
            <c:dLbl>
              <c:idx val="0"/>
              <c:layout>
                <c:manualLayout>
                  <c:x val="-8.115104871760824E-2"/>
                  <c:y val="-8.164777660196147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0B2-4A5D-87FD-80DC6C5B4096}"/>
                </c:ext>
                <c:ext xmlns:c15="http://schemas.microsoft.com/office/drawing/2012/chart" uri="{CE6537A1-D6FC-4f65-9D91-7224C49458BB}">
                  <c15:layout>
                    <c:manualLayout>
                      <c:w val="0.10876609027863708"/>
                      <c:h val="8.2082183710621662E-2"/>
                    </c:manualLayout>
                  </c15:layout>
                </c:ext>
              </c:extLst>
            </c:dLbl>
            <c:dLbl>
              <c:idx val="1"/>
              <c:layout>
                <c:manualLayout>
                  <c:x val="-6.0127645103563956E-2"/>
                  <c:y val="-8.7871161119965749E-2"/>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0B2-4A5D-87FD-80DC6C5B4096}"/>
                </c:ext>
                <c:ext xmlns:c15="http://schemas.microsoft.com/office/drawing/2012/chart" uri="{CE6537A1-D6FC-4f65-9D91-7224C49458BB}"/>
              </c:extLst>
            </c:dLbl>
            <c:dLbl>
              <c:idx val="2"/>
              <c:layout>
                <c:manualLayout>
                  <c:x val="-2.7161233360762142E-2"/>
                  <c:y val="-0.1009755404506061"/>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0B2-4A5D-87FD-80DC6C5B4096}"/>
                </c:ext>
                <c:ext xmlns:c15="http://schemas.microsoft.com/office/drawing/2012/chart" uri="{CE6537A1-D6FC-4f65-9D91-7224C49458BB}"/>
              </c:extLst>
            </c:dLbl>
            <c:dLbl>
              <c:idx val="3"/>
              <c:layout>
                <c:manualLayout>
                  <c:x val="-1.2730099935936926E-3"/>
                  <c:y val="-0.11218656580314168"/>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0B2-4A5D-87FD-80DC6C5B4096}"/>
                </c:ext>
                <c:ext xmlns:c15="http://schemas.microsoft.com/office/drawing/2012/chart" uri="{CE6537A1-D6FC-4f65-9D91-7224C49458BB}"/>
              </c:extLst>
            </c:dLbl>
            <c:dLbl>
              <c:idx val="4"/>
              <c:layout>
                <c:manualLayout>
                  <c:x val="3.3444821925196232E-2"/>
                  <c:y val="-0.10802042907029784"/>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0B2-4A5D-87FD-80DC6C5B4096}"/>
                </c:ext>
                <c:ext xmlns:c15="http://schemas.microsoft.com/office/drawing/2012/chart" uri="{CE6537A1-D6FC-4f65-9D91-7224C49458BB}"/>
              </c:extLst>
            </c:dLbl>
            <c:dLbl>
              <c:idx val="5"/>
              <c:layout>
                <c:manualLayout>
                  <c:x val="6.0325966567651761E-2"/>
                  <c:y val="-9.4344719499827631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A0B2-4A5D-87FD-80DC6C5B4096}"/>
                </c:ext>
                <c:ext xmlns:c15="http://schemas.microsoft.com/office/drawing/2012/chart" uri="{CE6537A1-D6FC-4f65-9D91-7224C49458BB}">
                  <c15:layout>
                    <c:manualLayout>
                      <c:w val="9.3522592681361594E-2"/>
                      <c:h val="5.3779310860528881E-2"/>
                    </c:manualLayout>
                  </c15:layout>
                </c:ext>
              </c:extLst>
            </c:dLbl>
            <c:dLbl>
              <c:idx val="6"/>
              <c:layout>
                <c:manualLayout>
                  <c:x val="0.11201590414919636"/>
                  <c:y val="-5.2973602383434612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0B2-4A5D-87FD-80DC6C5B4096}"/>
                </c:ext>
                <c:ext xmlns:c15="http://schemas.microsoft.com/office/drawing/2012/chart" uri="{CE6537A1-D6FC-4f65-9D91-7224C49458BB}"/>
              </c:extLst>
            </c:dLbl>
            <c:dLbl>
              <c:idx val="7"/>
              <c:layout>
                <c:manualLayout>
                  <c:x val="0.13833251043085401"/>
                  <c:y val="-5.2333972515642681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0B2-4A5D-87FD-80DC6C5B4096}"/>
                </c:ext>
                <c:ext xmlns:c15="http://schemas.microsoft.com/office/drawing/2012/chart" uri="{CE6537A1-D6FC-4f65-9D91-7224C49458BB}"/>
              </c:extLst>
            </c:dLbl>
            <c:dLbl>
              <c:idx val="8"/>
              <c:layout>
                <c:manualLayout>
                  <c:x val="8.2813417044288851E-2"/>
                  <c:y val="-4.7836328151289482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0B2-4A5D-87FD-80DC6C5B4096}"/>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0B2-4A5D-87FD-80DC6C5B409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A0B2-4A5D-87FD-80DC6C5B409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0B2-4A5D-87FD-80DC6C5B4096}"/>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base!#REF!</c:f>
            </c:numRef>
          </c:xVal>
          <c:yVal>
            <c:numRef>
              <c:f>base!#REF!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A-A0B2-4A5D-87FD-80DC6C5B4096}"/>
            </c:ext>
          </c:extLst>
        </c:ser>
        <c:dLbls>
          <c:showLegendKey val="0"/>
          <c:showVal val="0"/>
          <c:showCatName val="0"/>
          <c:showSerName val="0"/>
          <c:showPercent val="0"/>
          <c:showBubbleSize val="0"/>
        </c:dLbls>
        <c:axId val="258319264"/>
        <c:axId val="258318872"/>
      </c:scatterChart>
      <c:valAx>
        <c:axId val="258318872"/>
        <c:scaling>
          <c:orientation val="minMax"/>
          <c:max val="1"/>
          <c:min val="-1"/>
        </c:scaling>
        <c:delete val="1"/>
        <c:axPos val="l"/>
        <c:numFmt formatCode="General" sourceLinked="1"/>
        <c:majorTickMark val="out"/>
        <c:minorTickMark val="none"/>
        <c:tickLblPos val="nextTo"/>
        <c:crossAx val="258319264"/>
        <c:crosses val="autoZero"/>
        <c:crossBetween val="midCat"/>
      </c:valAx>
      <c:valAx>
        <c:axId val="258319264"/>
        <c:scaling>
          <c:orientation val="minMax"/>
          <c:max val="1"/>
          <c:min val="-1"/>
        </c:scaling>
        <c:delete val="1"/>
        <c:axPos val="b"/>
        <c:numFmt formatCode="General" sourceLinked="1"/>
        <c:majorTickMark val="out"/>
        <c:minorTickMark val="none"/>
        <c:tickLblPos val="nextTo"/>
        <c:crossAx val="258318872"/>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25312204602724E-2"/>
          <c:y val="0.1268833712207218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0FC2-4094-BAC9-1199B711226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0FC2-4094-BAC9-1199B711226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0FC2-4094-BAC9-1199B711226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0FC2-4094-BAC9-1199B711226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0FC2-4094-BAC9-1199B711226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0FC2-4094-BAC9-1199B711226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0FC2-4094-BAC9-1199B711226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0FC2-4094-BAC9-1199B711226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0FC2-4094-BAC9-1199B711226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0FC2-4094-BAC9-1199B711226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0FC2-4094-BAC9-1199B7112266}"/>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0FC2-4094-BAC9-1199B7112266}"/>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0FC2-4094-BAC9-1199B7112266}"/>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0FC2-4094-BAC9-1199B7112266}"/>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0FC2-4094-BAC9-1199B7112266}"/>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0FC2-4094-BAC9-1199B7112266}"/>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0FC2-4094-BAC9-1199B7112266}"/>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0FC2-4094-BAC9-1199B7112266}"/>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0FC2-4094-BAC9-1199B7112266}"/>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0FC2-4094-BAC9-1199B7112266}"/>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0FC2-4094-BAC9-1199B711226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0FC2-4094-BAC9-1199B711226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0FC2-4094-BAC9-1199B7112266}"/>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7-0FC2-4094-BAC9-1199B7112266}"/>
            </c:ext>
          </c:extLst>
        </c:ser>
        <c:dLbls>
          <c:showLegendKey val="0"/>
          <c:showVal val="0"/>
          <c:showCatName val="0"/>
          <c:showSerName val="0"/>
          <c:showPercent val="0"/>
          <c:showBubbleSize val="0"/>
        </c:dLbls>
        <c:axId val="258320440"/>
        <c:axId val="258320048"/>
      </c:scatterChart>
      <c:valAx>
        <c:axId val="258320048"/>
        <c:scaling>
          <c:orientation val="minMax"/>
          <c:max val="1"/>
          <c:min val="-1"/>
        </c:scaling>
        <c:delete val="1"/>
        <c:axPos val="l"/>
        <c:numFmt formatCode="General" sourceLinked="1"/>
        <c:majorTickMark val="out"/>
        <c:minorTickMark val="none"/>
        <c:tickLblPos val="nextTo"/>
        <c:crossAx val="258320440"/>
        <c:crosses val="autoZero"/>
        <c:crossBetween val="midCat"/>
      </c:valAx>
      <c:valAx>
        <c:axId val="258320440"/>
        <c:scaling>
          <c:orientation val="minMax"/>
          <c:max val="1"/>
          <c:min val="-1"/>
        </c:scaling>
        <c:delete val="1"/>
        <c:axPos val="b"/>
        <c:numFmt formatCode="General" sourceLinked="1"/>
        <c:majorTickMark val="out"/>
        <c:minorTickMark val="none"/>
        <c:tickLblPos val="nextTo"/>
        <c:crossAx val="258320048"/>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65FF-4D3B-B3CE-D38B3F5BCFFC}"/>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65FF-4D3B-B3CE-D38B3F5BCFFC}"/>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65FF-4D3B-B3CE-D38B3F5BCFFC}"/>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65FF-4D3B-B3CE-D38B3F5BCFFC}"/>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65FF-4D3B-B3CE-D38B3F5BCFFC}"/>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65FF-4D3B-B3CE-D38B3F5BCFFC}"/>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65FF-4D3B-B3CE-D38B3F5BCFFC}"/>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65FF-4D3B-B3CE-D38B3F5BCFFC}"/>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65FF-4D3B-B3CE-D38B3F5BCFFC}"/>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65FF-4D3B-B3CE-D38B3F5BCFFC}"/>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65FF-4D3B-B3CE-D38B3F5BCFFC}"/>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65FF-4D3B-B3CE-D38B3F5BCFFC}"/>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65FF-4D3B-B3CE-D38B3F5BCFFC}"/>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65FF-4D3B-B3CE-D38B3F5BCFFC}"/>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65FF-4D3B-B3CE-D38B3F5BCFFC}"/>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65FF-4D3B-B3CE-D38B3F5BCFFC}"/>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65FF-4D3B-B3CE-D38B3F5BCFFC}"/>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65FF-4D3B-B3CE-D38B3F5BCFFC}"/>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65FF-4D3B-B3CE-D38B3F5BCFFC}"/>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65FF-4D3B-B3CE-D38B3F5BCFFC}"/>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65FF-4D3B-B3CE-D38B3F5BCFFC}"/>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65FF-4D3B-B3CE-D38B3F5BCFF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65FF-4D3B-B3CE-D38B3F5BCFFC}"/>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'TODA LA BASE '!$Q$26:$Q$28</c:f>
            </c:numRef>
          </c:xVal>
          <c:yVal>
            <c:numRef>
              <c:f>'TODA LA BASE '!$R$26:$R$28</c:f>
            </c:numRef>
          </c:yVal>
          <c:smooth val="1"/>
          <c:extLst xmlns:c16r2="http://schemas.microsoft.com/office/drawing/2015/06/chart">
            <c:ext xmlns:c16="http://schemas.microsoft.com/office/drawing/2014/chart" uri="{C3380CC4-5D6E-409C-BE32-E72D297353CC}">
              <c16:uniqueId val="{00000017-65FF-4D3B-B3CE-D38B3F5BCFFC}"/>
            </c:ext>
          </c:extLst>
        </c:ser>
        <c:dLbls>
          <c:showLegendKey val="0"/>
          <c:showVal val="0"/>
          <c:showCatName val="0"/>
          <c:showSerName val="0"/>
          <c:showPercent val="0"/>
          <c:showBubbleSize val="0"/>
        </c:dLbls>
        <c:axId val="258824048"/>
        <c:axId val="258321224"/>
      </c:scatterChart>
      <c:valAx>
        <c:axId val="258321224"/>
        <c:scaling>
          <c:orientation val="minMax"/>
          <c:max val="1"/>
          <c:min val="-1"/>
        </c:scaling>
        <c:delete val="1"/>
        <c:axPos val="l"/>
        <c:numFmt formatCode="0%" sourceLinked="1"/>
        <c:majorTickMark val="out"/>
        <c:minorTickMark val="none"/>
        <c:tickLblPos val="nextTo"/>
        <c:crossAx val="258824048"/>
        <c:crosses val="autoZero"/>
        <c:crossBetween val="midCat"/>
      </c:valAx>
      <c:valAx>
        <c:axId val="258824048"/>
        <c:scaling>
          <c:orientation val="minMax"/>
          <c:max val="1"/>
          <c:min val="-1"/>
        </c:scaling>
        <c:delete val="1"/>
        <c:axPos val="b"/>
        <c:numFmt formatCode="0%" sourceLinked="1"/>
        <c:majorTickMark val="out"/>
        <c:minorTickMark val="none"/>
        <c:tickLblPos val="nextTo"/>
        <c:crossAx val="258321224"/>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explosion val="4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5957-4D74-A3F3-868E279EA98E}"/>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5957-4D74-A3F3-868E279EA98E}"/>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5957-4D74-A3F3-868E279EA98E}"/>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5957-4D74-A3F3-868E279EA98E}"/>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5957-4D74-A3F3-868E279EA98E}"/>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5957-4D74-A3F3-868E279EA98E}"/>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5957-4D74-A3F3-868E279EA98E}"/>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5957-4D74-A3F3-868E279EA98E}"/>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5957-4D74-A3F3-868E279EA98E}"/>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5957-4D74-A3F3-868E279EA98E}"/>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5957-4D74-A3F3-868E279EA98E}"/>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5957-4D74-A3F3-868E279EA98E}"/>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5957-4D74-A3F3-868E279EA98E}"/>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5957-4D74-A3F3-868E279EA98E}"/>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5957-4D74-A3F3-868E279EA98E}"/>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5957-4D74-A3F3-868E279EA98E}"/>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5957-4D74-A3F3-868E279EA98E}"/>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5957-4D74-A3F3-868E279EA98E}"/>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5957-4D74-A3F3-868E279EA98E}"/>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5957-4D74-A3F3-868E279EA98E}"/>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5957-4D74-A3F3-868E279EA98E}"/>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5957-4D74-A3F3-868E279EA98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5957-4D74-A3F3-868E279EA98E}"/>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base!#REF!</c:f>
            </c:numRef>
          </c:xVal>
          <c:yVal>
            <c:numRef>
              <c:f>base!#REF!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7-5957-4D74-A3F3-868E279EA98E}"/>
            </c:ext>
          </c:extLst>
        </c:ser>
        <c:dLbls>
          <c:showLegendKey val="0"/>
          <c:showVal val="0"/>
          <c:showCatName val="0"/>
          <c:showSerName val="0"/>
          <c:showPercent val="0"/>
          <c:showBubbleSize val="0"/>
        </c:dLbls>
        <c:axId val="258825224"/>
        <c:axId val="258824832"/>
      </c:scatterChart>
      <c:valAx>
        <c:axId val="258824832"/>
        <c:scaling>
          <c:orientation val="minMax"/>
          <c:max val="1"/>
          <c:min val="-1"/>
        </c:scaling>
        <c:delete val="1"/>
        <c:axPos val="l"/>
        <c:numFmt formatCode="General" sourceLinked="1"/>
        <c:majorTickMark val="out"/>
        <c:minorTickMark val="none"/>
        <c:tickLblPos val="nextTo"/>
        <c:crossAx val="258825224"/>
        <c:crosses val="autoZero"/>
        <c:crossBetween val="midCat"/>
      </c:valAx>
      <c:valAx>
        <c:axId val="258825224"/>
        <c:scaling>
          <c:orientation val="minMax"/>
          <c:max val="1"/>
          <c:min val="-1"/>
        </c:scaling>
        <c:delete val="1"/>
        <c:axPos val="b"/>
        <c:numFmt formatCode="_(* #,##0.0_);_(* \(#,##0.0\);_(* &quot;-&quot;?_);_(@_)" sourceLinked="1"/>
        <c:majorTickMark val="out"/>
        <c:minorTickMark val="none"/>
        <c:tickLblPos val="nextTo"/>
        <c:crossAx val="258824832"/>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1A8C-4B87-A053-93CCB6B6D1B1}"/>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1A8C-4B87-A053-93CCB6B6D1B1}"/>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1A8C-4B87-A053-93CCB6B6D1B1}"/>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1A8C-4B87-A053-93CCB6B6D1B1}"/>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1A8C-4B87-A053-93CCB6B6D1B1}"/>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1A8C-4B87-A053-93CCB6B6D1B1}"/>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1A8C-4B87-A053-93CCB6B6D1B1}"/>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1A8C-4B87-A053-93CCB6B6D1B1}"/>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1A8C-4B87-A053-93CCB6B6D1B1}"/>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1A8C-4B87-A053-93CCB6B6D1B1}"/>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1A8C-4B87-A053-93CCB6B6D1B1}"/>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1A8C-4B87-A053-93CCB6B6D1B1}"/>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1A8C-4B87-A053-93CCB6B6D1B1}"/>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1A8C-4B87-A053-93CCB6B6D1B1}"/>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1A8C-4B87-A053-93CCB6B6D1B1}"/>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1A8C-4B87-A053-93CCB6B6D1B1}"/>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1A8C-4B87-A053-93CCB6B6D1B1}"/>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1A8C-4B87-A053-93CCB6B6D1B1}"/>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1A8C-4B87-A053-93CCB6B6D1B1}"/>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1A8C-4B87-A053-93CCB6B6D1B1}"/>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1A8C-4B87-A053-93CCB6B6D1B1}"/>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1A8C-4B87-A053-93CCB6B6D1B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1A8C-4B87-A053-93CCB6B6D1B1}"/>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1A8C-4B87-A053-93CCB6B6D1B1}"/>
            </c:ext>
          </c:extLst>
        </c:ser>
        <c:dLbls>
          <c:showLegendKey val="0"/>
          <c:showVal val="0"/>
          <c:showCatName val="0"/>
          <c:showSerName val="0"/>
          <c:showPercent val="0"/>
          <c:showBubbleSize val="0"/>
        </c:dLbls>
        <c:axId val="258826400"/>
        <c:axId val="258826008"/>
      </c:scatterChart>
      <c:valAx>
        <c:axId val="258826008"/>
        <c:scaling>
          <c:orientation val="minMax"/>
          <c:max val="1"/>
          <c:min val="-1"/>
        </c:scaling>
        <c:delete val="1"/>
        <c:axPos val="l"/>
        <c:numFmt formatCode="General" sourceLinked="1"/>
        <c:majorTickMark val="out"/>
        <c:minorTickMark val="none"/>
        <c:tickLblPos val="nextTo"/>
        <c:crossAx val="258826400"/>
        <c:crosses val="autoZero"/>
        <c:crossBetween val="midCat"/>
      </c:valAx>
      <c:valAx>
        <c:axId val="258826400"/>
        <c:scaling>
          <c:orientation val="minMax"/>
          <c:max val="1"/>
          <c:min val="-1"/>
        </c:scaling>
        <c:delete val="1"/>
        <c:axPos val="b"/>
        <c:numFmt formatCode="General" sourceLinked="1"/>
        <c:majorTickMark val="out"/>
        <c:minorTickMark val="none"/>
        <c:tickLblPos val="nextTo"/>
        <c:crossAx val="258826008"/>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CE42-44AD-9BB2-7A1F8EB8183A}"/>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CE42-44AD-9BB2-7A1F8EB8183A}"/>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CE42-44AD-9BB2-7A1F8EB8183A}"/>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CE42-44AD-9BB2-7A1F8EB8183A}"/>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CE42-44AD-9BB2-7A1F8EB8183A}"/>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CE42-44AD-9BB2-7A1F8EB8183A}"/>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CE42-44AD-9BB2-7A1F8EB8183A}"/>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CE42-44AD-9BB2-7A1F8EB8183A}"/>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CE42-44AD-9BB2-7A1F8EB8183A}"/>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CE42-44AD-9BB2-7A1F8EB8183A}"/>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CE42-44AD-9BB2-7A1F8EB8183A}"/>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CE42-44AD-9BB2-7A1F8EB8183A}"/>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CE42-44AD-9BB2-7A1F8EB8183A}"/>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CE42-44AD-9BB2-7A1F8EB8183A}"/>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CE42-44AD-9BB2-7A1F8EB8183A}"/>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CE42-44AD-9BB2-7A1F8EB8183A}"/>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CE42-44AD-9BB2-7A1F8EB8183A}"/>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CE42-44AD-9BB2-7A1F8EB8183A}"/>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CE42-44AD-9BB2-7A1F8EB8183A}"/>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CE42-44AD-9BB2-7A1F8EB8183A}"/>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CE42-44AD-9BB2-7A1F8EB8183A}"/>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CE42-44AD-9BB2-7A1F8EB8183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CE42-44AD-9BB2-7A1F8EB8183A}"/>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CE42-44AD-9BB2-7A1F8EB8183A}"/>
            </c:ext>
          </c:extLst>
        </c:ser>
        <c:dLbls>
          <c:showLegendKey val="0"/>
          <c:showVal val="0"/>
          <c:showCatName val="0"/>
          <c:showSerName val="0"/>
          <c:showPercent val="0"/>
          <c:showBubbleSize val="0"/>
        </c:dLbls>
        <c:axId val="258827576"/>
        <c:axId val="258827184"/>
      </c:scatterChart>
      <c:valAx>
        <c:axId val="258827184"/>
        <c:scaling>
          <c:orientation val="minMax"/>
          <c:max val="1"/>
          <c:min val="-1"/>
        </c:scaling>
        <c:delete val="1"/>
        <c:axPos val="l"/>
        <c:numFmt formatCode="General" sourceLinked="1"/>
        <c:majorTickMark val="out"/>
        <c:minorTickMark val="none"/>
        <c:tickLblPos val="nextTo"/>
        <c:crossAx val="258827576"/>
        <c:crosses val="autoZero"/>
        <c:crossBetween val="midCat"/>
      </c:valAx>
      <c:valAx>
        <c:axId val="258827576"/>
        <c:scaling>
          <c:orientation val="minMax"/>
          <c:max val="1"/>
          <c:min val="-1"/>
        </c:scaling>
        <c:delete val="1"/>
        <c:axPos val="b"/>
        <c:numFmt formatCode="General" sourceLinked="1"/>
        <c:majorTickMark val="out"/>
        <c:minorTickMark val="none"/>
        <c:tickLblPos val="nextTo"/>
        <c:crossAx val="258827184"/>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8828752"/>
        <c:axId val="258828360"/>
      </c:scatterChart>
      <c:valAx>
        <c:axId val="258828360"/>
        <c:scaling>
          <c:orientation val="minMax"/>
          <c:max val="1"/>
          <c:min val="-1"/>
        </c:scaling>
        <c:delete val="1"/>
        <c:axPos val="l"/>
        <c:numFmt formatCode="General" sourceLinked="1"/>
        <c:majorTickMark val="out"/>
        <c:minorTickMark val="none"/>
        <c:tickLblPos val="nextTo"/>
        <c:crossAx val="258828752"/>
        <c:crosses val="autoZero"/>
        <c:crossBetween val="midCat"/>
      </c:valAx>
      <c:valAx>
        <c:axId val="258828752"/>
        <c:scaling>
          <c:orientation val="minMax"/>
          <c:max val="1"/>
          <c:min val="-1"/>
        </c:scaling>
        <c:delete val="1"/>
        <c:axPos val="b"/>
        <c:numFmt formatCode="General" sourceLinked="1"/>
        <c:majorTickMark val="out"/>
        <c:minorTickMark val="none"/>
        <c:tickLblPos val="nextTo"/>
        <c:crossAx val="258828360"/>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Lit>
              <c:formatCode>General</c:formatCode>
              <c:ptCount val="11"/>
              <c:pt idx="0">
                <c:v>1</c:v>
              </c:pt>
              <c:pt idx="1">
                <c:v>1</c:v>
              </c:pt>
              <c:pt idx="2">
                <c:v>1</c:v>
              </c:pt>
              <c:pt idx="3">
                <c:v>1</c:v>
              </c:pt>
              <c:pt idx="4">
                <c:v>1</c:v>
              </c:pt>
              <c:pt idx="5">
                <c:v>1</c:v>
              </c:pt>
              <c:pt idx="6">
                <c:v>1</c:v>
              </c:pt>
              <c:pt idx="7">
                <c:v>1</c:v>
              </c:pt>
              <c:pt idx="8">
                <c:v>1</c:v>
              </c:pt>
              <c:pt idx="9">
                <c:v>1</c:v>
              </c:pt>
              <c:pt idx="10">
                <c:v>10</c:v>
              </c:pt>
            </c:numLit>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187446064"/>
        <c:axId val="187445672"/>
      </c:scatterChart>
      <c:valAx>
        <c:axId val="187445672"/>
        <c:scaling>
          <c:orientation val="minMax"/>
          <c:max val="1"/>
          <c:min val="-1"/>
        </c:scaling>
        <c:delete val="1"/>
        <c:axPos val="l"/>
        <c:numFmt formatCode="General" sourceLinked="1"/>
        <c:majorTickMark val="out"/>
        <c:minorTickMark val="none"/>
        <c:tickLblPos val="nextTo"/>
        <c:crossAx val="187446064"/>
        <c:crosses val="autoZero"/>
        <c:crossBetween val="midCat"/>
      </c:valAx>
      <c:valAx>
        <c:axId val="187446064"/>
        <c:scaling>
          <c:orientation val="minMax"/>
          <c:max val="1"/>
          <c:min val="-1"/>
        </c:scaling>
        <c:delete val="1"/>
        <c:axPos val="b"/>
        <c:numFmt formatCode="General" sourceLinked="1"/>
        <c:majorTickMark val="out"/>
        <c:minorTickMark val="none"/>
        <c:tickLblPos val="nextTo"/>
        <c:crossAx val="187445672"/>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8829928"/>
        <c:axId val="258829536"/>
      </c:scatterChart>
      <c:valAx>
        <c:axId val="258829536"/>
        <c:scaling>
          <c:orientation val="minMax"/>
          <c:max val="1"/>
          <c:min val="-1"/>
        </c:scaling>
        <c:delete val="1"/>
        <c:axPos val="l"/>
        <c:numFmt formatCode="General" sourceLinked="1"/>
        <c:majorTickMark val="out"/>
        <c:minorTickMark val="none"/>
        <c:tickLblPos val="nextTo"/>
        <c:crossAx val="258829928"/>
        <c:crosses val="autoZero"/>
        <c:crossBetween val="midCat"/>
      </c:valAx>
      <c:valAx>
        <c:axId val="258829928"/>
        <c:scaling>
          <c:orientation val="minMax"/>
          <c:max val="1"/>
          <c:min val="-1"/>
        </c:scaling>
        <c:delete val="1"/>
        <c:axPos val="b"/>
        <c:numFmt formatCode="General" sourceLinked="1"/>
        <c:majorTickMark val="out"/>
        <c:minorTickMark val="none"/>
        <c:tickLblPos val="nextTo"/>
        <c:crossAx val="258829536"/>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8831104"/>
        <c:axId val="258830712"/>
      </c:scatterChart>
      <c:valAx>
        <c:axId val="258830712"/>
        <c:scaling>
          <c:orientation val="minMax"/>
          <c:max val="1"/>
          <c:min val="-1"/>
        </c:scaling>
        <c:delete val="1"/>
        <c:axPos val="l"/>
        <c:numFmt formatCode="General" sourceLinked="1"/>
        <c:majorTickMark val="out"/>
        <c:minorTickMark val="none"/>
        <c:tickLblPos val="nextTo"/>
        <c:crossAx val="258831104"/>
        <c:crosses val="autoZero"/>
        <c:crossBetween val="midCat"/>
      </c:valAx>
      <c:valAx>
        <c:axId val="258831104"/>
        <c:scaling>
          <c:orientation val="minMax"/>
          <c:max val="1"/>
          <c:min val="-1"/>
        </c:scaling>
        <c:delete val="1"/>
        <c:axPos val="b"/>
        <c:numFmt formatCode="General" sourceLinked="1"/>
        <c:majorTickMark val="out"/>
        <c:minorTickMark val="none"/>
        <c:tickLblPos val="nextTo"/>
        <c:crossAx val="258830712"/>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60505960"/>
        <c:axId val="260505568"/>
      </c:scatterChart>
      <c:valAx>
        <c:axId val="260505568"/>
        <c:scaling>
          <c:orientation val="minMax"/>
          <c:max val="1"/>
          <c:min val="-1"/>
        </c:scaling>
        <c:delete val="1"/>
        <c:axPos val="l"/>
        <c:numFmt formatCode="General" sourceLinked="1"/>
        <c:majorTickMark val="out"/>
        <c:minorTickMark val="none"/>
        <c:tickLblPos val="nextTo"/>
        <c:crossAx val="260505960"/>
        <c:crosses val="autoZero"/>
        <c:crossBetween val="midCat"/>
      </c:valAx>
      <c:valAx>
        <c:axId val="260505960"/>
        <c:scaling>
          <c:orientation val="minMax"/>
          <c:max val="1"/>
          <c:min val="-1"/>
        </c:scaling>
        <c:delete val="1"/>
        <c:axPos val="b"/>
        <c:numFmt formatCode="General" sourceLinked="1"/>
        <c:majorTickMark val="out"/>
        <c:minorTickMark val="none"/>
        <c:tickLblPos val="nextTo"/>
        <c:crossAx val="260505568"/>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60507136"/>
        <c:axId val="260506744"/>
      </c:scatterChart>
      <c:valAx>
        <c:axId val="260506744"/>
        <c:scaling>
          <c:orientation val="minMax"/>
          <c:max val="1"/>
          <c:min val="-1"/>
        </c:scaling>
        <c:delete val="1"/>
        <c:axPos val="l"/>
        <c:numFmt formatCode="General" sourceLinked="1"/>
        <c:majorTickMark val="out"/>
        <c:minorTickMark val="none"/>
        <c:tickLblPos val="nextTo"/>
        <c:crossAx val="260507136"/>
        <c:crosses val="autoZero"/>
        <c:crossBetween val="midCat"/>
      </c:valAx>
      <c:valAx>
        <c:axId val="260507136"/>
        <c:scaling>
          <c:orientation val="minMax"/>
          <c:max val="1"/>
          <c:min val="-1"/>
        </c:scaling>
        <c:delete val="1"/>
        <c:axPos val="b"/>
        <c:numFmt formatCode="General" sourceLinked="1"/>
        <c:majorTickMark val="out"/>
        <c:minorTickMark val="none"/>
        <c:tickLblPos val="nextTo"/>
        <c:crossAx val="260506744"/>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1625185619203"/>
          <c:y val="0.13218914088205513"/>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Lit>
              <c:formatCode>General</c:formatCode>
              <c:ptCount val="11"/>
              <c:pt idx="0">
                <c:v>1</c:v>
              </c:pt>
              <c:pt idx="1">
                <c:v>1</c:v>
              </c:pt>
              <c:pt idx="2">
                <c:v>1</c:v>
              </c:pt>
              <c:pt idx="3">
                <c:v>1</c:v>
              </c:pt>
              <c:pt idx="4">
                <c:v>1</c:v>
              </c:pt>
              <c:pt idx="5">
                <c:v>1</c:v>
              </c:pt>
              <c:pt idx="6">
                <c:v>1</c:v>
              </c:pt>
              <c:pt idx="7">
                <c:v>1</c:v>
              </c:pt>
              <c:pt idx="8">
                <c:v>1</c:v>
              </c:pt>
              <c:pt idx="9">
                <c:v>1</c:v>
              </c:pt>
              <c:pt idx="10">
                <c:v>10</c:v>
              </c:pt>
            </c:numLit>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60508312"/>
        <c:axId val="260507920"/>
      </c:scatterChart>
      <c:valAx>
        <c:axId val="260507920"/>
        <c:scaling>
          <c:orientation val="minMax"/>
          <c:max val="1"/>
          <c:min val="-1"/>
        </c:scaling>
        <c:delete val="1"/>
        <c:axPos val="l"/>
        <c:numFmt formatCode="General" sourceLinked="1"/>
        <c:majorTickMark val="out"/>
        <c:minorTickMark val="none"/>
        <c:tickLblPos val="nextTo"/>
        <c:crossAx val="260508312"/>
        <c:crosses val="autoZero"/>
        <c:crossBetween val="midCat"/>
      </c:valAx>
      <c:valAx>
        <c:axId val="260508312"/>
        <c:scaling>
          <c:orientation val="minMax"/>
          <c:max val="1"/>
          <c:min val="-1"/>
        </c:scaling>
        <c:delete val="1"/>
        <c:axPos val="b"/>
        <c:numFmt formatCode="General" sourceLinked="1"/>
        <c:majorTickMark val="out"/>
        <c:minorTickMark val="none"/>
        <c:tickLblPos val="nextTo"/>
        <c:crossAx val="260507920"/>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60509488"/>
        <c:axId val="260509096"/>
      </c:scatterChart>
      <c:valAx>
        <c:axId val="260509096"/>
        <c:scaling>
          <c:orientation val="minMax"/>
          <c:max val="1"/>
          <c:min val="-1"/>
        </c:scaling>
        <c:delete val="1"/>
        <c:axPos val="l"/>
        <c:numFmt formatCode="General" sourceLinked="1"/>
        <c:majorTickMark val="out"/>
        <c:minorTickMark val="none"/>
        <c:tickLblPos val="nextTo"/>
        <c:crossAx val="260509488"/>
        <c:crosses val="autoZero"/>
        <c:crossBetween val="midCat"/>
      </c:valAx>
      <c:valAx>
        <c:axId val="260509488"/>
        <c:scaling>
          <c:orientation val="minMax"/>
          <c:max val="1"/>
          <c:min val="-1"/>
        </c:scaling>
        <c:delete val="1"/>
        <c:axPos val="b"/>
        <c:numFmt formatCode="General" sourceLinked="1"/>
        <c:majorTickMark val="out"/>
        <c:minorTickMark val="none"/>
        <c:tickLblPos val="nextTo"/>
        <c:crossAx val="260509096"/>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36795909633391E-2"/>
          <c:y val="5.8322201177794804E-2"/>
          <c:w val="0.82902566839071934"/>
          <c:h val="0.83310359814264623"/>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534F-4DED-BC69-96A1C8A2A86D}"/>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534F-4DED-BC69-96A1C8A2A86D}"/>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534F-4DED-BC69-96A1C8A2A86D}"/>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534F-4DED-BC69-96A1C8A2A86D}"/>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534F-4DED-BC69-96A1C8A2A86D}"/>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534F-4DED-BC69-96A1C8A2A86D}"/>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534F-4DED-BC69-96A1C8A2A86D}"/>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534F-4DED-BC69-96A1C8A2A86D}"/>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534F-4DED-BC69-96A1C8A2A86D}"/>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534F-4DED-BC69-96A1C8A2A86D}"/>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534F-4DED-BC69-96A1C8A2A86D}"/>
              </c:ext>
            </c:extLst>
          </c:dPt>
          <c:dLbls>
            <c:dLbl>
              <c:idx val="0"/>
              <c:layout>
                <c:manualLayout>
                  <c:x val="-8.115104871760824E-2"/>
                  <c:y val="-8.164777660196147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534F-4DED-BC69-96A1C8A2A86D}"/>
                </c:ext>
                <c:ext xmlns:c15="http://schemas.microsoft.com/office/drawing/2012/chart" uri="{CE6537A1-D6FC-4f65-9D91-7224C49458BB}">
                  <c15:layout>
                    <c:manualLayout>
                      <c:w val="0.10876609027863708"/>
                      <c:h val="8.2082183710621662E-2"/>
                    </c:manualLayout>
                  </c15:layout>
                </c:ext>
              </c:extLst>
            </c:dLbl>
            <c:dLbl>
              <c:idx val="1"/>
              <c:layout>
                <c:manualLayout>
                  <c:x val="-6.0127645103563956E-2"/>
                  <c:y val="-8.7871161119965749E-2"/>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534F-4DED-BC69-96A1C8A2A86D}"/>
                </c:ext>
                <c:ext xmlns:c15="http://schemas.microsoft.com/office/drawing/2012/chart" uri="{CE6537A1-D6FC-4f65-9D91-7224C49458BB}">
                  <c15:layout/>
                </c:ext>
              </c:extLst>
            </c:dLbl>
            <c:dLbl>
              <c:idx val="2"/>
              <c:layout>
                <c:manualLayout>
                  <c:x val="-2.7161233360762142E-2"/>
                  <c:y val="-0.1009755404506061"/>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534F-4DED-BC69-96A1C8A2A86D}"/>
                </c:ext>
                <c:ext xmlns:c15="http://schemas.microsoft.com/office/drawing/2012/chart" uri="{CE6537A1-D6FC-4f65-9D91-7224C49458BB}">
                  <c15:layout/>
                </c:ext>
              </c:extLst>
            </c:dLbl>
            <c:dLbl>
              <c:idx val="3"/>
              <c:layout>
                <c:manualLayout>
                  <c:x val="-1.2730099935936926E-3"/>
                  <c:y val="-0.11218656580314168"/>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534F-4DED-BC69-96A1C8A2A86D}"/>
                </c:ext>
                <c:ext xmlns:c15="http://schemas.microsoft.com/office/drawing/2012/chart" uri="{CE6537A1-D6FC-4f65-9D91-7224C49458BB}">
                  <c15:layout/>
                </c:ext>
              </c:extLst>
            </c:dLbl>
            <c:dLbl>
              <c:idx val="4"/>
              <c:layout>
                <c:manualLayout>
                  <c:x val="3.3444821925196232E-2"/>
                  <c:y val="-0.10802042907029784"/>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534F-4DED-BC69-96A1C8A2A86D}"/>
                </c:ext>
                <c:ext xmlns:c15="http://schemas.microsoft.com/office/drawing/2012/chart" uri="{CE6537A1-D6FC-4f65-9D91-7224C49458BB}">
                  <c15:layout/>
                </c:ext>
              </c:extLst>
            </c:dLbl>
            <c:dLbl>
              <c:idx val="5"/>
              <c:layout>
                <c:manualLayout>
                  <c:x val="9.2003472288160387E-2"/>
                  <c:y val="-9.2084857602808823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534F-4DED-BC69-96A1C8A2A86D}"/>
                </c:ext>
                <c:ext xmlns:c15="http://schemas.microsoft.com/office/drawing/2012/chart" uri="{CE6537A1-D6FC-4f65-9D91-7224C49458BB}">
                  <c15:layout>
                    <c:manualLayout>
                      <c:w val="0.15687760412237886"/>
                      <c:h val="5.8299034654566484E-2"/>
                    </c:manualLayout>
                  </c15:layout>
                </c:ext>
              </c:extLst>
            </c:dLbl>
            <c:dLbl>
              <c:idx val="6"/>
              <c:layout>
                <c:manualLayout>
                  <c:x val="0.11201590414919636"/>
                  <c:y val="-5.2973602383434612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534F-4DED-BC69-96A1C8A2A86D}"/>
                </c:ext>
                <c:ext xmlns:c15="http://schemas.microsoft.com/office/drawing/2012/chart" uri="{CE6537A1-D6FC-4f65-9D91-7224C49458BB}">
                  <c15:layout/>
                </c:ext>
              </c:extLst>
            </c:dLbl>
            <c:dLbl>
              <c:idx val="7"/>
              <c:layout>
                <c:manualLayout>
                  <c:x val="0.13833251043085401"/>
                  <c:y val="-5.2333972515642681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534F-4DED-BC69-96A1C8A2A86D}"/>
                </c:ext>
                <c:ext xmlns:c15="http://schemas.microsoft.com/office/drawing/2012/chart" uri="{CE6537A1-D6FC-4f65-9D91-7224C49458BB}">
                  <c15:layout/>
                </c:ext>
              </c:extLst>
            </c:dLbl>
            <c:dLbl>
              <c:idx val="8"/>
              <c:layout>
                <c:manualLayout>
                  <c:x val="0.11311638492740855"/>
                  <c:y val="-1.748772298758558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534F-4DED-BC69-96A1C8A2A86D}"/>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534F-4DED-BC69-96A1C8A2A86D}"/>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534F-4DED-BC69-96A1C8A2A86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534F-4DED-BC69-96A1C8A2A86D}"/>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62B4-4E5F-8423-1C5E8B4F6E35}"/>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62B4-4E5F-8423-1C5E8B4F6E35}"/>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62B4-4E5F-8423-1C5E8B4F6E35}"/>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62B4-4E5F-8423-1C5E8B4F6E35}"/>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62B4-4E5F-8423-1C5E8B4F6E35}"/>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62B4-4E5F-8423-1C5E8B4F6E35}"/>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62B4-4E5F-8423-1C5E8B4F6E35}"/>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62B4-4E5F-8423-1C5E8B4F6E35}"/>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62B4-4E5F-8423-1C5E8B4F6E35}"/>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62B4-4E5F-8423-1C5E8B4F6E35}"/>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62B4-4E5F-8423-1C5E8B4F6E35}"/>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62B4-4E5F-8423-1C5E8B4F6E35}"/>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62B4-4E5F-8423-1C5E8B4F6E35}"/>
                </c:ext>
                <c:ext xmlns:c15="http://schemas.microsoft.com/office/drawing/2012/chart" uri="{CE6537A1-D6FC-4f65-9D91-7224C49458BB}">
                  <c15:layout/>
                </c:ext>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62B4-4E5F-8423-1C5E8B4F6E35}"/>
                </c:ext>
                <c:ext xmlns:c15="http://schemas.microsoft.com/office/drawing/2012/chart" uri="{CE6537A1-D6FC-4f65-9D91-7224C49458BB}">
                  <c15:layout/>
                </c:ext>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62B4-4E5F-8423-1C5E8B4F6E35}"/>
                </c:ext>
                <c:ext xmlns:c15="http://schemas.microsoft.com/office/drawing/2012/chart" uri="{CE6537A1-D6FC-4f65-9D91-7224C49458BB}">
                  <c15:layout/>
                </c:ext>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62B4-4E5F-8423-1C5E8B4F6E35}"/>
                </c:ext>
                <c:ext xmlns:c15="http://schemas.microsoft.com/office/drawing/2012/chart" uri="{CE6537A1-D6FC-4f65-9D91-7224C49458BB}">
                  <c15:layout/>
                </c:ext>
              </c:extLst>
            </c:dLbl>
            <c:dLbl>
              <c:idx val="5"/>
              <c:layout>
                <c:manualLayout>
                  <c:x val="0.12126094629651323"/>
                  <c:y val="-9.056369191076939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62B4-4E5F-8423-1C5E8B4F6E35}"/>
                </c:ext>
                <c:ext xmlns:c15="http://schemas.microsoft.com/office/drawing/2012/chart" uri="{CE6537A1-D6FC-4f65-9D91-7224C49458BB}">
                  <c15:layout>
                    <c:manualLayout>
                      <c:w val="0.11368105984592097"/>
                      <c:h val="7.6432927873418863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62B4-4E5F-8423-1C5E8B4F6E35}"/>
                </c:ext>
                <c:ext xmlns:c15="http://schemas.microsoft.com/office/drawing/2012/chart" uri="{CE6537A1-D6FC-4f65-9D91-7224C49458BB}">
                  <c15:layout/>
                </c:ext>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62B4-4E5F-8423-1C5E8B4F6E35}"/>
                </c:ext>
                <c:ext xmlns:c15="http://schemas.microsoft.com/office/drawing/2012/chart" uri="{CE6537A1-D6FC-4f65-9D91-7224C49458BB}">
                  <c15:layout/>
                </c:ext>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62B4-4E5F-8423-1C5E8B4F6E35}"/>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62B4-4E5F-8423-1C5E8B4F6E35}"/>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62B4-4E5F-8423-1C5E8B4F6E3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62B4-4E5F-8423-1C5E8B4F6E35}"/>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FFB-43AC-980A-EC54A4B733F8}"/>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FFB-43AC-980A-EC54A4B733F8}"/>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FFB-43AC-980A-EC54A4B733F8}"/>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FFB-43AC-980A-EC54A4B733F8}"/>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FFB-43AC-980A-EC54A4B733F8}"/>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FFB-43AC-980A-EC54A4B733F8}"/>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FFB-43AC-980A-EC54A4B733F8}"/>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FFB-43AC-980A-EC54A4B733F8}"/>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FFB-43AC-980A-EC54A4B733F8}"/>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FFB-43AC-980A-EC54A4B733F8}"/>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FFB-43AC-980A-EC54A4B733F8}"/>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FFB-43AC-980A-EC54A4B733F8}"/>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FFB-43AC-980A-EC54A4B733F8}"/>
                </c:ext>
                <c:ext xmlns:c15="http://schemas.microsoft.com/office/drawing/2012/chart" uri="{CE6537A1-D6FC-4f65-9D91-7224C49458BB}">
                  <c15:layout/>
                </c:ext>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FFB-43AC-980A-EC54A4B733F8}"/>
                </c:ext>
                <c:ext xmlns:c15="http://schemas.microsoft.com/office/drawing/2012/chart" uri="{CE6537A1-D6FC-4f65-9D91-7224C49458BB}">
                  <c15:layout/>
                </c:ext>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FFB-43AC-980A-EC54A4B733F8}"/>
                </c:ext>
                <c:ext xmlns:c15="http://schemas.microsoft.com/office/drawing/2012/chart" uri="{CE6537A1-D6FC-4f65-9D91-7224C49458BB}">
                  <c15:layout/>
                </c:ext>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FFB-43AC-980A-EC54A4B733F8}"/>
                </c:ext>
                <c:ext xmlns:c15="http://schemas.microsoft.com/office/drawing/2012/chart" uri="{CE6537A1-D6FC-4f65-9D91-7224C49458BB}">
                  <c15:layout/>
                </c:ext>
              </c:extLst>
            </c:dLbl>
            <c:dLbl>
              <c:idx val="5"/>
              <c:layout>
                <c:manualLayout>
                  <c:x val="0.12705474617323687"/>
                  <c:y val="-9.2829050791631146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AFFB-43AC-980A-EC54A4B733F8}"/>
                </c:ext>
                <c:ext xmlns:c15="http://schemas.microsoft.com/office/drawing/2012/chart" uri="{CE6537A1-D6FC-4f65-9D91-7224C49458BB}">
                  <c15:layout>
                    <c:manualLayout>
                      <c:w val="0.12526865959936825"/>
                      <c:h val="7.1902210111695355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FFB-43AC-980A-EC54A4B733F8}"/>
                </c:ext>
                <c:ext xmlns:c15="http://schemas.microsoft.com/office/drawing/2012/chart" uri="{CE6537A1-D6FC-4f65-9D91-7224C49458BB}">
                  <c15:layout/>
                </c:ext>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FFB-43AC-980A-EC54A4B733F8}"/>
                </c:ext>
                <c:ext xmlns:c15="http://schemas.microsoft.com/office/drawing/2012/chart" uri="{CE6537A1-D6FC-4f65-9D91-7224C49458BB}">
                  <c15:layout/>
                </c:ext>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FFB-43AC-980A-EC54A4B733F8}"/>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FFB-43AC-980A-EC54A4B733F8}"/>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AFFB-43AC-980A-EC54A4B733F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FFB-43AC-980A-EC54A4B733F8}"/>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'TODA LA BASE '!$Q$26:$Q$28</c:f>
            </c:numRef>
          </c:xVal>
          <c:yVal>
            <c:numRef>
              <c:f>'TODA LA BASE '!$R$26:$R$28</c:f>
            </c:numRef>
          </c:yVal>
          <c:smooth val="1"/>
          <c:extLst xmlns:c16r2="http://schemas.microsoft.com/office/drawing/2015/06/chart">
            <c:ext xmlns:c16="http://schemas.microsoft.com/office/drawing/2014/chart" uri="{C3380CC4-5D6E-409C-BE32-E72D297353CC}">
              <c16:uniqueId val="{00000019-AFFB-43AC-980A-EC54A4B733F8}"/>
            </c:ext>
          </c:extLst>
        </c:ser>
        <c:dLbls>
          <c:showLegendKey val="0"/>
          <c:showVal val="0"/>
          <c:showCatName val="0"/>
          <c:showSerName val="0"/>
          <c:showPercent val="0"/>
          <c:showBubbleSize val="0"/>
        </c:dLbls>
        <c:axId val="260511448"/>
        <c:axId val="260511056"/>
      </c:scatterChart>
      <c:valAx>
        <c:axId val="260511056"/>
        <c:scaling>
          <c:orientation val="minMax"/>
          <c:max val="1"/>
          <c:min val="-1"/>
        </c:scaling>
        <c:delete val="1"/>
        <c:axPos val="l"/>
        <c:numFmt formatCode="0%" sourceLinked="1"/>
        <c:majorTickMark val="out"/>
        <c:minorTickMark val="none"/>
        <c:tickLblPos val="nextTo"/>
        <c:crossAx val="260511448"/>
        <c:crosses val="autoZero"/>
        <c:crossBetween val="midCat"/>
      </c:valAx>
      <c:valAx>
        <c:axId val="260511448"/>
        <c:scaling>
          <c:orientation val="minMax"/>
          <c:max val="1"/>
          <c:min val="-1"/>
        </c:scaling>
        <c:delete val="1"/>
        <c:axPos val="b"/>
        <c:numFmt formatCode="0%" sourceLinked="1"/>
        <c:majorTickMark val="out"/>
        <c:minorTickMark val="none"/>
        <c:tickLblPos val="nextTo"/>
        <c:crossAx val="260511056"/>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9D5-42E9-888C-11D90BF10202}"/>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9D5-42E9-888C-11D90BF10202}"/>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9D5-42E9-888C-11D90BF10202}"/>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9D5-42E9-888C-11D90BF10202}"/>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9D5-42E9-888C-11D90BF10202}"/>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9D5-42E9-888C-11D90BF10202}"/>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9D5-42E9-888C-11D90BF10202}"/>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9D5-42E9-888C-11D90BF10202}"/>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9D5-42E9-888C-11D90BF10202}"/>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9D5-42E9-888C-11D90BF10202}"/>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9D5-42E9-888C-11D90BF10202}"/>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9D5-42E9-888C-11D90BF10202}"/>
                </c:ext>
                <c:ext xmlns:c15="http://schemas.microsoft.com/office/drawing/2012/chart" uri="{CE6537A1-D6FC-4f65-9D91-7224C49458BB}">
                  <c15:layout/>
                </c:ext>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9D5-42E9-888C-11D90BF10202}"/>
                </c:ext>
                <c:ext xmlns:c15="http://schemas.microsoft.com/office/drawing/2012/chart" uri="{CE6537A1-D6FC-4f65-9D91-7224C49458BB}">
                  <c15:layout/>
                </c:ext>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9D5-42E9-888C-11D90BF10202}"/>
                </c:ext>
                <c:ext xmlns:c15="http://schemas.microsoft.com/office/drawing/2012/chart" uri="{CE6537A1-D6FC-4f65-9D91-7224C49458BB}">
                  <c15:layout/>
                </c:ext>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9D5-42E9-888C-11D90BF10202}"/>
                </c:ext>
                <c:ext xmlns:c15="http://schemas.microsoft.com/office/drawing/2012/chart" uri="{CE6537A1-D6FC-4f65-9D91-7224C49458BB}">
                  <c15:layout/>
                </c:ext>
              </c:extLst>
            </c:dLbl>
            <c:dLbl>
              <c:idx val="5"/>
              <c:layout>
                <c:manualLayout>
                  <c:x val="0.11980235139029634"/>
                  <c:y val="-9.5094423306276696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c:ext xmlns:c15="http://schemas.microsoft.com/office/drawing/2012/chart" uri="{CE6537A1-D6FC-4f65-9D91-7224C49458BB}">
                  <c15:layout>
                    <c:manualLayout>
                      <c:w val="0.1107638700334872"/>
                      <c:h val="6.7371465082404255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9D5-42E9-888C-11D90BF10202}"/>
                </c:ext>
                <c:ext xmlns:c15="http://schemas.microsoft.com/office/drawing/2012/chart" uri="{CE6537A1-D6FC-4f65-9D91-7224C49458BB}">
                  <c15:layout/>
                </c:ext>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9D5-42E9-888C-11D90BF10202}"/>
                </c:ext>
                <c:ext xmlns:c15="http://schemas.microsoft.com/office/drawing/2012/chart" uri="{CE6537A1-D6FC-4f65-9D91-7224C49458BB}">
                  <c15:layout/>
                </c:ext>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9D5-42E9-888C-11D90BF10202}"/>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9D5-42E9-888C-11D90BF10202}"/>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A9D5-42E9-888C-11D90BF1020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9D5-42E9-888C-11D90BF10202}"/>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0FC2-4094-BAC9-1199B711226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0FC2-4094-BAC9-1199B711226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0FC2-4094-BAC9-1199B711226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0FC2-4094-BAC9-1199B711226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0FC2-4094-BAC9-1199B711226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0FC2-4094-BAC9-1199B711226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0FC2-4094-BAC9-1199B711226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0FC2-4094-BAC9-1199B711226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0FC2-4094-BAC9-1199B711226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0FC2-4094-BAC9-1199B711226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0FC2-4094-BAC9-1199B7112266}"/>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0FC2-4094-BAC9-1199B7112266}"/>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0FC2-4094-BAC9-1199B7112266}"/>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0FC2-4094-BAC9-1199B7112266}"/>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0FC2-4094-BAC9-1199B7112266}"/>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0FC2-4094-BAC9-1199B7112266}"/>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0FC2-4094-BAC9-1199B7112266}"/>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0FC2-4094-BAC9-1199B7112266}"/>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0FC2-4094-BAC9-1199B7112266}"/>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0FC2-4094-BAC9-1199B7112266}"/>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0FC2-4094-BAC9-1199B711226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0FC2-4094-BAC9-1199B711226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0FC2-4094-BAC9-1199B7112266}"/>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7-0FC2-4094-BAC9-1199B7112266}"/>
            </c:ext>
          </c:extLst>
        </c:ser>
        <c:dLbls>
          <c:showLegendKey val="0"/>
          <c:showVal val="0"/>
          <c:showCatName val="0"/>
          <c:showSerName val="0"/>
          <c:showPercent val="0"/>
          <c:showBubbleSize val="0"/>
        </c:dLbls>
        <c:axId val="187447240"/>
        <c:axId val="187446848"/>
      </c:scatterChart>
      <c:valAx>
        <c:axId val="187446848"/>
        <c:scaling>
          <c:orientation val="minMax"/>
          <c:max val="1"/>
          <c:min val="-1"/>
        </c:scaling>
        <c:delete val="1"/>
        <c:axPos val="l"/>
        <c:numFmt formatCode="General" sourceLinked="1"/>
        <c:majorTickMark val="out"/>
        <c:minorTickMark val="none"/>
        <c:tickLblPos val="nextTo"/>
        <c:crossAx val="187447240"/>
        <c:crosses val="autoZero"/>
        <c:crossBetween val="midCat"/>
      </c:valAx>
      <c:valAx>
        <c:axId val="187447240"/>
        <c:scaling>
          <c:orientation val="minMax"/>
          <c:max val="1"/>
          <c:min val="-1"/>
        </c:scaling>
        <c:delete val="1"/>
        <c:axPos val="b"/>
        <c:numFmt formatCode="General" sourceLinked="1"/>
        <c:majorTickMark val="out"/>
        <c:minorTickMark val="none"/>
        <c:tickLblPos val="nextTo"/>
        <c:crossAx val="187446848"/>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F2C9-4BB0-8288-1989D0E4499A}"/>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F2C9-4BB0-8288-1989D0E4499A}"/>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F2C9-4BB0-8288-1989D0E4499A}"/>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F2C9-4BB0-8288-1989D0E4499A}"/>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F2C9-4BB0-8288-1989D0E4499A}"/>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F2C9-4BB0-8288-1989D0E4499A}"/>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F2C9-4BB0-8288-1989D0E4499A}"/>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F2C9-4BB0-8288-1989D0E4499A}"/>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F2C9-4BB0-8288-1989D0E4499A}"/>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F2C9-4BB0-8288-1989D0E4499A}"/>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F2C9-4BB0-8288-1989D0E4499A}"/>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F2C9-4BB0-8288-1989D0E4499A}"/>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F2C9-4BB0-8288-1989D0E4499A}"/>
                </c:ext>
                <c:ext xmlns:c15="http://schemas.microsoft.com/office/drawing/2012/chart" uri="{CE6537A1-D6FC-4f65-9D91-7224C49458BB}">
                  <c15:layout/>
                </c:ext>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F2C9-4BB0-8288-1989D0E4499A}"/>
                </c:ext>
                <c:ext xmlns:c15="http://schemas.microsoft.com/office/drawing/2012/chart" uri="{CE6537A1-D6FC-4f65-9D91-7224C49458BB}">
                  <c15:layout/>
                </c:ext>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F2C9-4BB0-8288-1989D0E4499A}"/>
                </c:ext>
                <c:ext xmlns:c15="http://schemas.microsoft.com/office/drawing/2012/chart" uri="{CE6537A1-D6FC-4f65-9D91-7224C49458BB}">
                  <c15:layout/>
                </c:ext>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F2C9-4BB0-8288-1989D0E4499A}"/>
                </c:ext>
                <c:ext xmlns:c15="http://schemas.microsoft.com/office/drawing/2012/chart" uri="{CE6537A1-D6FC-4f65-9D91-7224C49458BB}">
                  <c15:layout/>
                </c:ext>
              </c:extLst>
            </c:dLbl>
            <c:dLbl>
              <c:idx val="5"/>
              <c:layout>
                <c:manualLayout>
                  <c:x val="0.12267591460868715"/>
                  <c:y val="-9.3167680405941616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F2C9-4BB0-8288-1989D0E4499A}"/>
                </c:ext>
                <c:ext xmlns:c15="http://schemas.microsoft.com/office/drawing/2012/chart" uri="{CE6537A1-D6FC-4f65-9D91-7224C49458BB}">
                  <c15:layout>
                    <c:manualLayout>
                      <c:w val="0.11651099647026882"/>
                      <c:h val="7.1224950883074414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F2C9-4BB0-8288-1989D0E4499A}"/>
                </c:ext>
                <c:ext xmlns:c15="http://schemas.microsoft.com/office/drawing/2012/chart" uri="{CE6537A1-D6FC-4f65-9D91-7224C49458BB}">
                  <c15:layout/>
                </c:ext>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F2C9-4BB0-8288-1989D0E4499A}"/>
                </c:ext>
                <c:ext xmlns:c15="http://schemas.microsoft.com/office/drawing/2012/chart" uri="{CE6537A1-D6FC-4f65-9D91-7224C49458BB}">
                  <c15:layout/>
                </c:ext>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F2C9-4BB0-8288-1989D0E4499A}"/>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F2C9-4BB0-8288-1989D0E4499A}"/>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F2C9-4BB0-8288-1989D0E4499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F2C9-4BB0-8288-1989D0E4499A}"/>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89A-4136-9A74-53CCCFCF2B0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89A-4136-9A74-53CCCFCF2B0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89A-4136-9A74-53CCCFCF2B0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89A-4136-9A74-53CCCFCF2B0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89A-4136-9A74-53CCCFCF2B0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89A-4136-9A74-53CCCFCF2B0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89A-4136-9A74-53CCCFCF2B0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89A-4136-9A74-53CCCFCF2B0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89A-4136-9A74-53CCCFCF2B0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89A-4136-9A74-53CCCFCF2B0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89A-4136-9A74-53CCCFCF2B06}"/>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89A-4136-9A74-53CCCFCF2B06}"/>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89A-4136-9A74-53CCCFCF2B06}"/>
                </c:ext>
                <c:ext xmlns:c15="http://schemas.microsoft.com/office/drawing/2012/chart" uri="{CE6537A1-D6FC-4f65-9D91-7224C49458BB}">
                  <c15:layout/>
                </c:ext>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89A-4136-9A74-53CCCFCF2B06}"/>
                </c:ext>
                <c:ext xmlns:c15="http://schemas.microsoft.com/office/drawing/2012/chart" uri="{CE6537A1-D6FC-4f65-9D91-7224C49458BB}">
                  <c15:layout/>
                </c:ext>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89A-4136-9A74-53CCCFCF2B06}"/>
                </c:ext>
                <c:ext xmlns:c15="http://schemas.microsoft.com/office/drawing/2012/chart" uri="{CE6537A1-D6FC-4f65-9D91-7224C49458BB}">
                  <c15:layout/>
                </c:ext>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89A-4136-9A74-53CCCFCF2B06}"/>
                </c:ext>
                <c:ext xmlns:c15="http://schemas.microsoft.com/office/drawing/2012/chart" uri="{CE6537A1-D6FC-4f65-9D91-7224C49458BB}">
                  <c15:layout/>
                </c:ext>
              </c:extLst>
            </c:dLbl>
            <c:dLbl>
              <c:idx val="5"/>
              <c:layout>
                <c:manualLayout>
                  <c:x val="0.12416874328723398"/>
                  <c:y val="-9.319207697464840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A89A-4136-9A74-53CCCFCF2B06}"/>
                </c:ext>
                <c:ext xmlns:c15="http://schemas.microsoft.com/office/drawing/2012/chart" uri="{CE6537A1-D6FC-4f65-9D91-7224C49458BB}">
                  <c15:layout>
                    <c:manualLayout>
                      <c:w val="0.11949665382736249"/>
                      <c:h val="7.1176157745660829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89A-4136-9A74-53CCCFCF2B06}"/>
                </c:ext>
                <c:ext xmlns:c15="http://schemas.microsoft.com/office/drawing/2012/chart" uri="{CE6537A1-D6FC-4f65-9D91-7224C49458BB}">
                  <c15:layout/>
                </c:ext>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89A-4136-9A74-53CCCFCF2B06}"/>
                </c:ext>
                <c:ext xmlns:c15="http://schemas.microsoft.com/office/drawing/2012/chart" uri="{CE6537A1-D6FC-4f65-9D91-7224C49458BB}">
                  <c15:layout/>
                </c:ext>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89A-4136-9A74-53CCCFCF2B06}"/>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89A-4136-9A74-53CCCFCF2B06}"/>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A89A-4136-9A74-53CCCFCF2B0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89A-4136-9A74-53CCCFCF2B06}"/>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1F20-4DE1-AC35-80C665228F79}"/>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1F20-4DE1-AC35-80C665228F79}"/>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1F20-4DE1-AC35-80C665228F79}"/>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1F20-4DE1-AC35-80C665228F79}"/>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1F20-4DE1-AC35-80C665228F79}"/>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1F20-4DE1-AC35-80C665228F79}"/>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1F20-4DE1-AC35-80C665228F79}"/>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1F20-4DE1-AC35-80C665228F79}"/>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1F20-4DE1-AC35-80C665228F79}"/>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1F20-4DE1-AC35-80C665228F79}"/>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1F20-4DE1-AC35-80C665228F79}"/>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1F20-4DE1-AC35-80C665228F79}"/>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1F20-4DE1-AC35-80C665228F79}"/>
                </c:ext>
                <c:ext xmlns:c15="http://schemas.microsoft.com/office/drawing/2012/chart" uri="{CE6537A1-D6FC-4f65-9D91-7224C49458BB}">
                  <c15:layout/>
                </c:ext>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1F20-4DE1-AC35-80C665228F79}"/>
                </c:ext>
                <c:ext xmlns:c15="http://schemas.microsoft.com/office/drawing/2012/chart" uri="{CE6537A1-D6FC-4f65-9D91-7224C49458BB}">
                  <c15:layout/>
                </c:ext>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1F20-4DE1-AC35-80C665228F79}"/>
                </c:ext>
                <c:ext xmlns:c15="http://schemas.microsoft.com/office/drawing/2012/chart" uri="{CE6537A1-D6FC-4f65-9D91-7224C49458BB}">
                  <c15:layout/>
                </c:ext>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1F20-4DE1-AC35-80C665228F79}"/>
                </c:ext>
                <c:ext xmlns:c15="http://schemas.microsoft.com/office/drawing/2012/chart" uri="{CE6537A1-D6FC-4f65-9D91-7224C49458BB}">
                  <c15:layout/>
                </c:ext>
              </c:extLst>
            </c:dLbl>
            <c:dLbl>
              <c:idx val="5"/>
              <c:layout>
                <c:manualLayout>
                  <c:x val="0.12691847321515998"/>
                  <c:y val="-9.9718977587346741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1F20-4DE1-AC35-80C665228F79}"/>
                </c:ext>
                <c:ext xmlns:c15="http://schemas.microsoft.com/office/drawing/2012/chart" uri="{CE6537A1-D6FC-4f65-9D91-7224C49458BB}">
                  <c15:layout>
                    <c:manualLayout>
                      <c:w val="0.12499611368321449"/>
                      <c:h val="5.8122356520264172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1F20-4DE1-AC35-80C665228F79}"/>
                </c:ext>
                <c:ext xmlns:c15="http://schemas.microsoft.com/office/drawing/2012/chart" uri="{CE6537A1-D6FC-4f65-9D91-7224C49458BB}">
                  <c15:layout/>
                </c:ext>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1F20-4DE1-AC35-80C665228F79}"/>
                </c:ext>
                <c:ext xmlns:c15="http://schemas.microsoft.com/office/drawing/2012/chart" uri="{CE6537A1-D6FC-4f65-9D91-7224C49458BB}">
                  <c15:layout/>
                </c:ext>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1F20-4DE1-AC35-80C665228F79}"/>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1F20-4DE1-AC35-80C665228F79}"/>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1F20-4DE1-AC35-80C665228F7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1F20-4DE1-AC35-80C665228F79}"/>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89A-4136-9A74-53CCCFCF2B0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89A-4136-9A74-53CCCFCF2B0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89A-4136-9A74-53CCCFCF2B0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89A-4136-9A74-53CCCFCF2B0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89A-4136-9A74-53CCCFCF2B0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89A-4136-9A74-53CCCFCF2B0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89A-4136-9A74-53CCCFCF2B0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89A-4136-9A74-53CCCFCF2B0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89A-4136-9A74-53CCCFCF2B0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89A-4136-9A74-53CCCFCF2B0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89A-4136-9A74-53CCCFCF2B06}"/>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89A-4136-9A74-53CCCFCF2B06}"/>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89A-4136-9A74-53CCCFCF2B06}"/>
                </c:ext>
                <c:ext xmlns:c15="http://schemas.microsoft.com/office/drawing/2012/chart" uri="{CE6537A1-D6FC-4f65-9D91-7224C49458BB}">
                  <c15:layout/>
                </c:ext>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89A-4136-9A74-53CCCFCF2B06}"/>
                </c:ext>
                <c:ext xmlns:c15="http://schemas.microsoft.com/office/drawing/2012/chart" uri="{CE6537A1-D6FC-4f65-9D91-7224C49458BB}">
                  <c15:layout/>
                </c:ext>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89A-4136-9A74-53CCCFCF2B06}"/>
                </c:ext>
                <c:ext xmlns:c15="http://schemas.microsoft.com/office/drawing/2012/chart" uri="{CE6537A1-D6FC-4f65-9D91-7224C49458BB}">
                  <c15:layout/>
                </c:ext>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89A-4136-9A74-53CCCFCF2B06}"/>
                </c:ext>
                <c:ext xmlns:c15="http://schemas.microsoft.com/office/drawing/2012/chart" uri="{CE6537A1-D6FC-4f65-9D91-7224C49458BB}">
                  <c15:layout/>
                </c:ext>
              </c:extLst>
            </c:dLbl>
            <c:dLbl>
              <c:idx val="5"/>
              <c:layout>
                <c:manualLayout>
                  <c:x val="0.12416874328723398"/>
                  <c:y val="-9.319207697464840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A89A-4136-9A74-53CCCFCF2B06}"/>
                </c:ext>
                <c:ext xmlns:c15="http://schemas.microsoft.com/office/drawing/2012/chart" uri="{CE6537A1-D6FC-4f65-9D91-7224C49458BB}">
                  <c15:layout>
                    <c:manualLayout>
                      <c:w val="0.11949665382736249"/>
                      <c:h val="7.1176157745660829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89A-4136-9A74-53CCCFCF2B06}"/>
                </c:ext>
                <c:ext xmlns:c15="http://schemas.microsoft.com/office/drawing/2012/chart" uri="{CE6537A1-D6FC-4f65-9D91-7224C49458BB}">
                  <c15:layout/>
                </c:ext>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89A-4136-9A74-53CCCFCF2B06}"/>
                </c:ext>
                <c:ext xmlns:c15="http://schemas.microsoft.com/office/drawing/2012/chart" uri="{CE6537A1-D6FC-4f65-9D91-7224C49458BB}">
                  <c15:layout/>
                </c:ext>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89A-4136-9A74-53CCCFCF2B06}"/>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89A-4136-9A74-53CCCFCF2B06}"/>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A89A-4136-9A74-53CCCFCF2B0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89A-4136-9A74-53CCCFCF2B06}"/>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89A-4136-9A74-53CCCFCF2B0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89A-4136-9A74-53CCCFCF2B0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89A-4136-9A74-53CCCFCF2B0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89A-4136-9A74-53CCCFCF2B0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89A-4136-9A74-53CCCFCF2B0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89A-4136-9A74-53CCCFCF2B0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89A-4136-9A74-53CCCFCF2B0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89A-4136-9A74-53CCCFCF2B0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89A-4136-9A74-53CCCFCF2B0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89A-4136-9A74-53CCCFCF2B0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89A-4136-9A74-53CCCFCF2B06}"/>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89A-4136-9A74-53CCCFCF2B06}"/>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89A-4136-9A74-53CCCFCF2B06}"/>
                </c:ext>
                <c:ext xmlns:c15="http://schemas.microsoft.com/office/drawing/2012/chart" uri="{CE6537A1-D6FC-4f65-9D91-7224C49458BB}">
                  <c15:layout/>
                </c:ext>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89A-4136-9A74-53CCCFCF2B06}"/>
                </c:ext>
                <c:ext xmlns:c15="http://schemas.microsoft.com/office/drawing/2012/chart" uri="{CE6537A1-D6FC-4f65-9D91-7224C49458BB}">
                  <c15:layout/>
                </c:ext>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89A-4136-9A74-53CCCFCF2B06}"/>
                </c:ext>
                <c:ext xmlns:c15="http://schemas.microsoft.com/office/drawing/2012/chart" uri="{CE6537A1-D6FC-4f65-9D91-7224C49458BB}">
                  <c15:layout/>
                </c:ext>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89A-4136-9A74-53CCCFCF2B06}"/>
                </c:ext>
                <c:ext xmlns:c15="http://schemas.microsoft.com/office/drawing/2012/chart" uri="{CE6537A1-D6FC-4f65-9D91-7224C49458BB}">
                  <c15:layout/>
                </c:ext>
              </c:extLst>
            </c:dLbl>
            <c:dLbl>
              <c:idx val="5"/>
              <c:layout>
                <c:manualLayout>
                  <c:x val="0.12416874328723398"/>
                  <c:y val="-9.319207697464840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A89A-4136-9A74-53CCCFCF2B06}"/>
                </c:ext>
                <c:ext xmlns:c15="http://schemas.microsoft.com/office/drawing/2012/chart" uri="{CE6537A1-D6FC-4f65-9D91-7224C49458BB}">
                  <c15:layout>
                    <c:manualLayout>
                      <c:w val="0.11949665382736249"/>
                      <c:h val="7.1176157745660829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89A-4136-9A74-53CCCFCF2B06}"/>
                </c:ext>
                <c:ext xmlns:c15="http://schemas.microsoft.com/office/drawing/2012/chart" uri="{CE6537A1-D6FC-4f65-9D91-7224C49458BB}">
                  <c15:layout/>
                </c:ext>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89A-4136-9A74-53CCCFCF2B06}"/>
                </c:ext>
                <c:ext xmlns:c15="http://schemas.microsoft.com/office/drawing/2012/chart" uri="{CE6537A1-D6FC-4f65-9D91-7224C49458BB}">
                  <c15:layout/>
                </c:ext>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89A-4136-9A74-53CCCFCF2B06}"/>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89A-4136-9A74-53CCCFCF2B06}"/>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A89A-4136-9A74-53CCCFCF2B0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89A-4136-9A74-53CCCFCF2B06}"/>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89A-4136-9A74-53CCCFCF2B0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89A-4136-9A74-53CCCFCF2B0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89A-4136-9A74-53CCCFCF2B0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89A-4136-9A74-53CCCFCF2B0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89A-4136-9A74-53CCCFCF2B0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89A-4136-9A74-53CCCFCF2B0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89A-4136-9A74-53CCCFCF2B0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89A-4136-9A74-53CCCFCF2B0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89A-4136-9A74-53CCCFCF2B0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89A-4136-9A74-53CCCFCF2B0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89A-4136-9A74-53CCCFCF2B06}"/>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89A-4136-9A74-53CCCFCF2B06}"/>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89A-4136-9A74-53CCCFCF2B06}"/>
                </c:ext>
                <c:ext xmlns:c15="http://schemas.microsoft.com/office/drawing/2012/chart" uri="{CE6537A1-D6FC-4f65-9D91-7224C49458BB}">
                  <c15:layout/>
                </c:ext>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89A-4136-9A74-53CCCFCF2B06}"/>
                </c:ext>
                <c:ext xmlns:c15="http://schemas.microsoft.com/office/drawing/2012/chart" uri="{CE6537A1-D6FC-4f65-9D91-7224C49458BB}">
                  <c15:layout/>
                </c:ext>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89A-4136-9A74-53CCCFCF2B06}"/>
                </c:ext>
                <c:ext xmlns:c15="http://schemas.microsoft.com/office/drawing/2012/chart" uri="{CE6537A1-D6FC-4f65-9D91-7224C49458BB}">
                  <c15:layout/>
                </c:ext>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89A-4136-9A74-53CCCFCF2B06}"/>
                </c:ext>
                <c:ext xmlns:c15="http://schemas.microsoft.com/office/drawing/2012/chart" uri="{CE6537A1-D6FC-4f65-9D91-7224C49458BB}">
                  <c15:layout/>
                </c:ext>
              </c:extLst>
            </c:dLbl>
            <c:dLbl>
              <c:idx val="5"/>
              <c:layout>
                <c:manualLayout>
                  <c:x val="0.12416874328723398"/>
                  <c:y val="-9.319207697464840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A89A-4136-9A74-53CCCFCF2B06}"/>
                </c:ext>
                <c:ext xmlns:c15="http://schemas.microsoft.com/office/drawing/2012/chart" uri="{CE6537A1-D6FC-4f65-9D91-7224C49458BB}">
                  <c15:layout>
                    <c:manualLayout>
                      <c:w val="0.11949665382736249"/>
                      <c:h val="7.1176157745660829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89A-4136-9A74-53CCCFCF2B06}"/>
                </c:ext>
                <c:ext xmlns:c15="http://schemas.microsoft.com/office/drawing/2012/chart" uri="{CE6537A1-D6FC-4f65-9D91-7224C49458BB}">
                  <c15:layout/>
                </c:ext>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89A-4136-9A74-53CCCFCF2B06}"/>
                </c:ext>
                <c:ext xmlns:c15="http://schemas.microsoft.com/office/drawing/2012/chart" uri="{CE6537A1-D6FC-4f65-9D91-7224C49458BB}">
                  <c15:layout/>
                </c:ext>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89A-4136-9A74-53CCCFCF2B06}"/>
                </c:ext>
                <c:ext xmlns:c15="http://schemas.microsoft.com/office/drawing/2012/chart" uri="{CE6537A1-D6FC-4f65-9D91-7224C49458BB}">
                  <c15:layout/>
                </c:ext>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89A-4136-9A74-53CCCFCF2B06}"/>
                </c:ext>
                <c:ext xmlns:c15="http://schemas.microsoft.com/office/drawing/2012/chart" uri="{CE6537A1-D6FC-4f65-9D91-7224C49458BB}">
                  <c15:layout/>
                </c:ext>
              </c:extLst>
            </c:dLbl>
            <c:dLbl>
              <c:idx val="10"/>
              <c:delete val="1"/>
              <c:extLst xmlns:c16r2="http://schemas.microsoft.com/office/drawing/2015/06/chart">
                <c:ext xmlns:c16="http://schemas.microsoft.com/office/drawing/2014/chart" uri="{C3380CC4-5D6E-409C-BE32-E72D297353CC}">
                  <c16:uniqueId val="{00000015-A89A-4136-9A74-53CCCFCF2B0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89A-4136-9A74-53CCCFCF2B06}"/>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89A-4136-9A74-53CCCFCF2B0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89A-4136-9A74-53CCCFCF2B0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89A-4136-9A74-53CCCFCF2B0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89A-4136-9A74-53CCCFCF2B0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89A-4136-9A74-53CCCFCF2B0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89A-4136-9A74-53CCCFCF2B0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89A-4136-9A74-53CCCFCF2B0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89A-4136-9A74-53CCCFCF2B0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89A-4136-9A74-53CCCFCF2B0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89A-4136-9A74-53CCCFCF2B0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89A-4136-9A74-53CCCFCF2B06}"/>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89A-4136-9A74-53CCCFCF2B06}"/>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89A-4136-9A74-53CCCFCF2B06}"/>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89A-4136-9A74-53CCCFCF2B06}"/>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89A-4136-9A74-53CCCFCF2B06}"/>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89A-4136-9A74-53CCCFCF2B06}"/>
                </c:ext>
                <c:ext xmlns:c15="http://schemas.microsoft.com/office/drawing/2012/chart" uri="{CE6537A1-D6FC-4f65-9D91-7224C49458BB}"/>
              </c:extLst>
            </c:dLbl>
            <c:dLbl>
              <c:idx val="5"/>
              <c:layout>
                <c:manualLayout>
                  <c:x val="0.12416874328723398"/>
                  <c:y val="-9.319207697464840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A89A-4136-9A74-53CCCFCF2B06}"/>
                </c:ext>
                <c:ext xmlns:c15="http://schemas.microsoft.com/office/drawing/2012/chart" uri="{CE6537A1-D6FC-4f65-9D91-7224C49458BB}">
                  <c15:layout>
                    <c:manualLayout>
                      <c:w val="0.11949665382736249"/>
                      <c:h val="7.1176157745660829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89A-4136-9A74-53CCCFCF2B06}"/>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89A-4136-9A74-53CCCFCF2B06}"/>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89A-4136-9A74-53CCCFCF2B06}"/>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89A-4136-9A74-53CCCFCF2B0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A89A-4136-9A74-53CCCFCF2B0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89A-4136-9A74-53CCCFCF2B06}"/>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89A-4136-9A74-53CCCFCF2B0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89A-4136-9A74-53CCCFCF2B0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89A-4136-9A74-53CCCFCF2B0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89A-4136-9A74-53CCCFCF2B0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89A-4136-9A74-53CCCFCF2B0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89A-4136-9A74-53CCCFCF2B0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89A-4136-9A74-53CCCFCF2B0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89A-4136-9A74-53CCCFCF2B0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89A-4136-9A74-53CCCFCF2B0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89A-4136-9A74-53CCCFCF2B0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89A-4136-9A74-53CCCFCF2B06}"/>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A89A-4136-9A74-53CCCFCF2B06}"/>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A89A-4136-9A74-53CCCFCF2B06}"/>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A89A-4136-9A74-53CCCFCF2B06}"/>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A89A-4136-9A74-53CCCFCF2B06}"/>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A89A-4136-9A74-53CCCFCF2B06}"/>
                </c:ext>
                <c:ext xmlns:c15="http://schemas.microsoft.com/office/drawing/2012/chart" uri="{CE6537A1-D6FC-4f65-9D91-7224C49458BB}"/>
              </c:extLst>
            </c:dLbl>
            <c:dLbl>
              <c:idx val="5"/>
              <c:layout>
                <c:manualLayout>
                  <c:x val="0.12416874328723398"/>
                  <c:y val="-9.319207697464840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A89A-4136-9A74-53CCCFCF2B06}"/>
                </c:ext>
                <c:ext xmlns:c15="http://schemas.microsoft.com/office/drawing/2012/chart" uri="{CE6537A1-D6FC-4f65-9D91-7224C49458BB}">
                  <c15:layout>
                    <c:manualLayout>
                      <c:w val="0.11949665382736249"/>
                      <c:h val="7.1176157745660829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A89A-4136-9A74-53CCCFCF2B06}"/>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A89A-4136-9A74-53CCCFCF2B06}"/>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A89A-4136-9A74-53CCCFCF2B06}"/>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A89A-4136-9A74-53CCCFCF2B06}"/>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A89A-4136-9A74-53CCCFCF2B0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89A-4136-9A74-53CCCFCF2B06}"/>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A89A-4136-9A74-53CCCFCF2B06}"/>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A89A-4136-9A74-53CCCFCF2B06}"/>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A89A-4136-9A74-53CCCFCF2B06}"/>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A89A-4136-9A74-53CCCFCF2B06}"/>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A89A-4136-9A74-53CCCFCF2B06}"/>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A89A-4136-9A74-53CCCFCF2B06}"/>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A89A-4136-9A74-53CCCFCF2B06}"/>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A89A-4136-9A74-53CCCFCF2B06}"/>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A89A-4136-9A74-53CCCFCF2B06}"/>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A89A-4136-9A74-53CCCFCF2B06}"/>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A89A-4136-9A74-53CCCFCF2B06}"/>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10%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0.12416874328723398"/>
                  <c:y val="-9.3192076974648402E-2"/>
                </c:manualLayout>
              </c:layout>
              <c:tx>
                <c:rich>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sz="1400"/>
                      <a:t>60%</a:t>
                    </a:r>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c:ext xmlns:c15="http://schemas.microsoft.com/office/drawing/2012/chart" uri="{CE6537A1-D6FC-4f65-9D91-7224C49458BB}">
                  <c15:layout>
                    <c:manualLayout>
                      <c:w val="0.11949665382736249"/>
                      <c:h val="7.1176157745660829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A89A-4136-9A74-53CCCFCF2B06}"/>
            </c:ext>
          </c:extLst>
        </c:ser>
        <c:dLbls>
          <c:showLegendKey val="0"/>
          <c:showVal val="0"/>
          <c:showCatName val="0"/>
          <c:showSerName val="0"/>
          <c:showPercent val="0"/>
          <c:showBubbleSize val="0"/>
          <c:showLeaderLines val="0"/>
        </c:dLbls>
        <c:firstSliceAng val="270"/>
        <c:holeSize val="64"/>
      </c:doughnutChart>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65FF-4D3B-B3CE-D38B3F5BCFFC}"/>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65FF-4D3B-B3CE-D38B3F5BCFFC}"/>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65FF-4D3B-B3CE-D38B3F5BCFFC}"/>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65FF-4D3B-B3CE-D38B3F5BCFFC}"/>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65FF-4D3B-B3CE-D38B3F5BCFFC}"/>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65FF-4D3B-B3CE-D38B3F5BCFFC}"/>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65FF-4D3B-B3CE-D38B3F5BCFFC}"/>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65FF-4D3B-B3CE-D38B3F5BCFFC}"/>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65FF-4D3B-B3CE-D38B3F5BCFFC}"/>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65FF-4D3B-B3CE-D38B3F5BCFFC}"/>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65FF-4D3B-B3CE-D38B3F5BCFFC}"/>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65FF-4D3B-B3CE-D38B3F5BCFFC}"/>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65FF-4D3B-B3CE-D38B3F5BCFFC}"/>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65FF-4D3B-B3CE-D38B3F5BCFFC}"/>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65FF-4D3B-B3CE-D38B3F5BCFFC}"/>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65FF-4D3B-B3CE-D38B3F5BCFFC}"/>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65FF-4D3B-B3CE-D38B3F5BCFFC}"/>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65FF-4D3B-B3CE-D38B3F5BCFFC}"/>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65FF-4D3B-B3CE-D38B3F5BCFFC}"/>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65FF-4D3B-B3CE-D38B3F5BCFFC}"/>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65FF-4D3B-B3CE-D38B3F5BCFFC}"/>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65FF-4D3B-B3CE-D38B3F5BCFF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65FF-4D3B-B3CE-D38B3F5BCFFC}"/>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'TODA LA BASE '!$Q$26:$Q$28</c:f>
            </c:numRef>
          </c:xVal>
          <c:yVal>
            <c:numRef>
              <c:f>'TODA LA BASE '!$R$26:$R$28</c:f>
            </c:numRef>
          </c:yVal>
          <c:smooth val="1"/>
          <c:extLst xmlns:c16r2="http://schemas.microsoft.com/office/drawing/2015/06/chart">
            <c:ext xmlns:c16="http://schemas.microsoft.com/office/drawing/2014/chart" uri="{C3380CC4-5D6E-409C-BE32-E72D297353CC}">
              <c16:uniqueId val="{00000017-65FF-4D3B-B3CE-D38B3F5BCFFC}"/>
            </c:ext>
          </c:extLst>
        </c:ser>
        <c:dLbls>
          <c:showLegendKey val="0"/>
          <c:showVal val="0"/>
          <c:showCatName val="0"/>
          <c:showSerName val="0"/>
          <c:showPercent val="0"/>
          <c:showBubbleSize val="0"/>
        </c:dLbls>
        <c:axId val="255790928"/>
        <c:axId val="187448024"/>
      </c:scatterChart>
      <c:valAx>
        <c:axId val="187448024"/>
        <c:scaling>
          <c:orientation val="minMax"/>
          <c:max val="1"/>
          <c:min val="-1"/>
        </c:scaling>
        <c:delete val="1"/>
        <c:axPos val="l"/>
        <c:numFmt formatCode="0%" sourceLinked="1"/>
        <c:majorTickMark val="out"/>
        <c:minorTickMark val="none"/>
        <c:tickLblPos val="nextTo"/>
        <c:crossAx val="255790928"/>
        <c:crosses val="autoZero"/>
        <c:crossBetween val="midCat"/>
      </c:valAx>
      <c:valAx>
        <c:axId val="255790928"/>
        <c:scaling>
          <c:orientation val="minMax"/>
          <c:max val="1"/>
          <c:min val="-1"/>
        </c:scaling>
        <c:delete val="1"/>
        <c:axPos val="b"/>
        <c:numFmt formatCode="0%" sourceLinked="1"/>
        <c:majorTickMark val="out"/>
        <c:minorTickMark val="none"/>
        <c:tickLblPos val="nextTo"/>
        <c:crossAx val="187448024"/>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5792104"/>
        <c:axId val="255791712"/>
      </c:scatterChart>
      <c:valAx>
        <c:axId val="255791712"/>
        <c:scaling>
          <c:orientation val="minMax"/>
          <c:max val="1"/>
          <c:min val="-1"/>
        </c:scaling>
        <c:delete val="1"/>
        <c:axPos val="l"/>
        <c:numFmt formatCode="General" sourceLinked="1"/>
        <c:majorTickMark val="out"/>
        <c:minorTickMark val="none"/>
        <c:tickLblPos val="nextTo"/>
        <c:crossAx val="255792104"/>
        <c:crosses val="autoZero"/>
        <c:crossBetween val="midCat"/>
      </c:valAx>
      <c:valAx>
        <c:axId val="255792104"/>
        <c:scaling>
          <c:orientation val="minMax"/>
          <c:max val="1"/>
          <c:min val="-1"/>
        </c:scaling>
        <c:delete val="1"/>
        <c:axPos val="b"/>
        <c:numFmt formatCode="General" sourceLinked="1"/>
        <c:majorTickMark val="out"/>
        <c:minorTickMark val="none"/>
        <c:tickLblPos val="nextTo"/>
        <c:crossAx val="255791712"/>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explosion val="4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5957-4D74-A3F3-868E279EA98E}"/>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5957-4D74-A3F3-868E279EA98E}"/>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5957-4D74-A3F3-868E279EA98E}"/>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5957-4D74-A3F3-868E279EA98E}"/>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5957-4D74-A3F3-868E279EA98E}"/>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5957-4D74-A3F3-868E279EA98E}"/>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5957-4D74-A3F3-868E279EA98E}"/>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5957-4D74-A3F3-868E279EA98E}"/>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5957-4D74-A3F3-868E279EA98E}"/>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5957-4D74-A3F3-868E279EA98E}"/>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5957-4D74-A3F3-868E279EA98E}"/>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5957-4D74-A3F3-868E279EA98E}"/>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5957-4D74-A3F3-868E279EA98E}"/>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5957-4D74-A3F3-868E279EA98E}"/>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5957-4D74-A3F3-868E279EA98E}"/>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5957-4D74-A3F3-868E279EA98E}"/>
                </c:ext>
                <c:ext xmlns:c15="http://schemas.microsoft.com/office/drawing/2012/chart" uri="{CE6537A1-D6FC-4f65-9D91-7224C49458BB}"/>
              </c:extLst>
            </c:dLbl>
            <c:dLbl>
              <c:idx val="5"/>
              <c:layout>
                <c:manualLayout>
                  <c:x val="0.11118171271423354"/>
                  <c:y val="-0.10189050041721438"/>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5957-4D74-A3F3-868E279EA98E}"/>
                </c:ext>
                <c:ext xmlns:c15="http://schemas.microsoft.com/office/drawing/2012/chart" uri="{CE6537A1-D6FC-4f65-9D91-7224C49458BB}">
                  <c15:layout>
                    <c:manualLayout>
                      <c:w val="9.3522592681361594E-2"/>
                      <c:h val="5.3779310860528881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5957-4D74-A3F3-868E279EA98E}"/>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5957-4D74-A3F3-868E279EA98E}"/>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5957-4D74-A3F3-868E279EA98E}"/>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5957-4D74-A3F3-868E279EA98E}"/>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5957-4D74-A3F3-868E279EA98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5957-4D74-A3F3-868E279EA98E}"/>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base!#REF!</c:f>
            </c:numRef>
          </c:xVal>
          <c:yVal>
            <c:numRef>
              <c:f>base!#REF!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7-5957-4D74-A3F3-868E279EA98E}"/>
            </c:ext>
          </c:extLst>
        </c:ser>
        <c:dLbls>
          <c:showLegendKey val="0"/>
          <c:showVal val="0"/>
          <c:showCatName val="0"/>
          <c:showSerName val="0"/>
          <c:showPercent val="0"/>
          <c:showBubbleSize val="0"/>
        </c:dLbls>
        <c:axId val="255793280"/>
        <c:axId val="255792888"/>
      </c:scatterChart>
      <c:valAx>
        <c:axId val="255792888"/>
        <c:scaling>
          <c:orientation val="minMax"/>
          <c:max val="1"/>
          <c:min val="-1"/>
        </c:scaling>
        <c:delete val="1"/>
        <c:axPos val="l"/>
        <c:numFmt formatCode="General" sourceLinked="1"/>
        <c:majorTickMark val="out"/>
        <c:minorTickMark val="none"/>
        <c:tickLblPos val="nextTo"/>
        <c:crossAx val="255793280"/>
        <c:crosses val="autoZero"/>
        <c:crossBetween val="midCat"/>
      </c:valAx>
      <c:valAx>
        <c:axId val="255793280"/>
        <c:scaling>
          <c:orientation val="minMax"/>
          <c:max val="1"/>
          <c:min val="-1"/>
        </c:scaling>
        <c:delete val="1"/>
        <c:axPos val="b"/>
        <c:numFmt formatCode="_(* #,##0.0_);_(* \(#,##0.0\);_(* &quot;-&quot;?_);_(@_)" sourceLinked="1"/>
        <c:majorTickMark val="out"/>
        <c:minorTickMark val="none"/>
        <c:tickLblPos val="nextTo"/>
        <c:crossAx val="255792888"/>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5794456"/>
        <c:axId val="255794064"/>
      </c:scatterChart>
      <c:valAx>
        <c:axId val="255794064"/>
        <c:scaling>
          <c:orientation val="minMax"/>
          <c:max val="1"/>
          <c:min val="-1"/>
        </c:scaling>
        <c:delete val="1"/>
        <c:axPos val="l"/>
        <c:numFmt formatCode="General" sourceLinked="1"/>
        <c:majorTickMark val="out"/>
        <c:minorTickMark val="none"/>
        <c:tickLblPos val="nextTo"/>
        <c:crossAx val="255794456"/>
        <c:crosses val="autoZero"/>
        <c:crossBetween val="midCat"/>
      </c:valAx>
      <c:valAx>
        <c:axId val="255794456"/>
        <c:scaling>
          <c:orientation val="minMax"/>
          <c:max val="1"/>
          <c:min val="-1"/>
        </c:scaling>
        <c:delete val="1"/>
        <c:axPos val="b"/>
        <c:numFmt formatCode="General" sourceLinked="1"/>
        <c:majorTickMark val="out"/>
        <c:minorTickMark val="none"/>
        <c:tickLblPos val="nextTo"/>
        <c:crossAx val="255794064"/>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4275708153131"/>
          <c:y val="8.850517947110384E-2"/>
          <c:w val="0.78758501754692556"/>
          <c:h val="0.91149482052889619"/>
        </c:manualLayout>
      </c:layout>
      <c:doughnutChart>
        <c:varyColors val="1"/>
        <c:ser>
          <c:idx val="0"/>
          <c:order val="0"/>
          <c:dPt>
            <c:idx val="0"/>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1-7640-42B9-8AE3-530EE1D7424B}"/>
              </c:ext>
            </c:extLst>
          </c:dPt>
          <c:dPt>
            <c:idx val="1"/>
            <c:bubble3D val="0"/>
            <c:spPr>
              <a:solidFill>
                <a:srgbClr val="FF0000"/>
              </a:solidFill>
              <a:ln w="19050">
                <a:solidFill>
                  <a:schemeClr val="lt1"/>
                </a:solidFill>
              </a:ln>
              <a:effectLst/>
            </c:spPr>
            <c:extLst xmlns:c16r2="http://schemas.microsoft.com/office/drawing/2015/06/chart">
              <c:ext xmlns:c16="http://schemas.microsoft.com/office/drawing/2014/chart" uri="{C3380CC4-5D6E-409C-BE32-E72D297353CC}">
                <c16:uniqueId val="{00000003-7640-42B9-8AE3-530EE1D7424B}"/>
              </c:ext>
            </c:extLst>
          </c:dPt>
          <c:dPt>
            <c:idx val="2"/>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5-7640-42B9-8AE3-530EE1D7424B}"/>
              </c:ext>
            </c:extLst>
          </c:dPt>
          <c:dPt>
            <c:idx val="3"/>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7-7640-42B9-8AE3-530EE1D7424B}"/>
              </c:ext>
            </c:extLst>
          </c:dPt>
          <c:dPt>
            <c:idx val="4"/>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9-7640-42B9-8AE3-530EE1D7424B}"/>
              </c:ext>
            </c:extLst>
          </c:dPt>
          <c:dPt>
            <c:idx val="5"/>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B-7640-42B9-8AE3-530EE1D7424B}"/>
              </c:ext>
            </c:extLst>
          </c:dPt>
          <c:dPt>
            <c:idx val="6"/>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D-7640-42B9-8AE3-530EE1D7424B}"/>
              </c:ext>
            </c:extLst>
          </c:dPt>
          <c:dPt>
            <c:idx val="7"/>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F-7640-42B9-8AE3-530EE1D7424B}"/>
              </c:ext>
            </c:extLst>
          </c:dPt>
          <c:dPt>
            <c:idx val="8"/>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1-7640-42B9-8AE3-530EE1D7424B}"/>
              </c:ext>
            </c:extLst>
          </c:dPt>
          <c:dPt>
            <c:idx val="9"/>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13-7640-42B9-8AE3-530EE1D7424B}"/>
              </c:ext>
            </c:extLst>
          </c:dPt>
          <c:dPt>
            <c:idx val="10"/>
            <c:bubble3D val="0"/>
            <c:spPr>
              <a:noFill/>
              <a:ln w="19050">
                <a:noFill/>
              </a:ln>
              <a:effectLst/>
            </c:spPr>
            <c:extLst xmlns:c16r2="http://schemas.microsoft.com/office/drawing/2015/06/chart">
              <c:ext xmlns:c16="http://schemas.microsoft.com/office/drawing/2014/chart" uri="{C3380CC4-5D6E-409C-BE32-E72D297353CC}">
                <c16:uniqueId val="{00000015-7640-42B9-8AE3-530EE1D7424B}"/>
              </c:ext>
            </c:extLst>
          </c:dPt>
          <c:dLbls>
            <c:dLbl>
              <c:idx val="0"/>
              <c:layout>
                <c:manualLayout>
                  <c:x val="-9.549497998472789E-2"/>
                  <c:y val="-8.9193565368378552E-2"/>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10%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7640-42B9-8AE3-530EE1D7424B}"/>
                </c:ext>
                <c:ext xmlns:c15="http://schemas.microsoft.com/office/drawing/2012/chart" uri="{CE6537A1-D6FC-4f65-9D91-7224C49458BB}">
                  <c15:layout>
                    <c:manualLayout>
                      <c:w val="0.10876609027863708"/>
                      <c:h val="8.2082183710621662E-2"/>
                    </c:manualLayout>
                  </c15:layout>
                </c:ext>
              </c:extLst>
            </c:dLbl>
            <c:dLbl>
              <c:idx val="1"/>
              <c:layout>
                <c:manualLayout>
                  <c:x val="-7.7079564030851061E-2"/>
                  <c:y val="-0.10447185840901461"/>
                </c:manualLayout>
              </c:layout>
              <c:tx>
                <c:rich>
                  <a:bodyPr/>
                  <a:lstStyle/>
                  <a:p>
                    <a:r>
                      <a:rPr lang="en-US"/>
                      <a:t>20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7640-42B9-8AE3-530EE1D7424B}"/>
                </c:ext>
                <c:ext xmlns:c15="http://schemas.microsoft.com/office/drawing/2012/chart" uri="{CE6537A1-D6FC-4f65-9D91-7224C49458BB}"/>
              </c:extLst>
            </c:dLbl>
            <c:dLbl>
              <c:idx val="2"/>
              <c:layout>
                <c:manualLayout>
                  <c:x val="-3.1073238944061044E-2"/>
                  <c:y val="-0.11757614489162527"/>
                </c:manualLayout>
              </c:layout>
              <c:tx>
                <c:rich>
                  <a:bodyPr/>
                  <a:lstStyle/>
                  <a:p>
                    <a:r>
                      <a:rPr lang="en-US"/>
                      <a:t>30</a:t>
                    </a:r>
                    <a:r>
                      <a:rPr lang="en-US" baseline="0"/>
                      <a:t> %</a:t>
                    </a:r>
                    <a:endParaRPr lang="en-US"/>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7640-42B9-8AE3-530EE1D7424B}"/>
                </c:ext>
                <c:ext xmlns:c15="http://schemas.microsoft.com/office/drawing/2012/chart" uri="{CE6537A1-D6FC-4f65-9D91-7224C49458BB}"/>
              </c:extLst>
            </c:dLbl>
            <c:dLbl>
              <c:idx val="3"/>
              <c:layout>
                <c:manualLayout>
                  <c:x val="7.8549688258298649E-3"/>
                  <c:y val="-0.12878722161843054"/>
                </c:manualLayout>
              </c:layout>
              <c:tx>
                <c:rich>
                  <a:bodyPr/>
                  <a:lstStyle/>
                  <a:p>
                    <a:r>
                      <a:rPr lang="en-US"/>
                      <a:t>40%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7640-42B9-8AE3-530EE1D7424B}"/>
                </c:ext>
                <c:ext xmlns:c15="http://schemas.microsoft.com/office/drawing/2012/chart" uri="{CE6537A1-D6FC-4f65-9D91-7224C49458BB}"/>
              </c:extLst>
            </c:dLbl>
            <c:dLbl>
              <c:idx val="4"/>
              <c:layout>
                <c:manualLayout>
                  <c:x val="5.6916745565113266E-2"/>
                  <c:y val="-0.118584422871666"/>
                </c:manualLayout>
              </c:layout>
              <c:tx>
                <c:rich>
                  <a:bodyPr/>
                  <a:lstStyle/>
                  <a:p>
                    <a:r>
                      <a:rPr lang="en-US"/>
                      <a:t>50%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7640-42B9-8AE3-530EE1D7424B}"/>
                </c:ext>
                <c:ext xmlns:c15="http://schemas.microsoft.com/office/drawing/2012/chart" uri="{CE6537A1-D6FC-4f65-9D91-7224C49458BB}"/>
              </c:extLst>
            </c:dLbl>
            <c:dLbl>
              <c:idx val="5"/>
              <c:layout>
                <c:manualLayout>
                  <c:x val="9.6559532684665134E-2"/>
                  <c:y val="-0.1099537329330527"/>
                </c:manualLayout>
              </c:layout>
              <c:tx>
                <c:rich>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r>
                      <a:rPr lang="en-US"/>
                      <a:t>60%</a:t>
                    </a:r>
                  </a:p>
                </c:rich>
              </c:tx>
              <c:spPr>
                <a:noFill/>
                <a:ln>
                  <a:noFill/>
                </a:ln>
                <a:effectLst/>
              </c:spPr>
              <c:txPr>
                <a:bodyPr rot="0" spcFirstLastPara="1" vertOverflow="ellipsis" vert="horz" wrap="square" lIns="38100" tIns="19050" rIns="38100" bIns="19050" anchor="ctr" anchorCtr="1">
                  <a:no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7640-42B9-8AE3-530EE1D7424B}"/>
                </c:ext>
                <c:ext xmlns:c15="http://schemas.microsoft.com/office/drawing/2012/chart" uri="{CE6537A1-D6FC-4f65-9D91-7224C49458BB}">
                  <c15:layout>
                    <c:manualLayout>
                      <c:w val="0.10926963162478716"/>
                      <c:h val="6.9905731653720618E-2"/>
                    </c:manualLayout>
                  </c15:layout>
                </c:ext>
              </c:extLst>
            </c:dLbl>
            <c:dLbl>
              <c:idx val="6"/>
              <c:layout>
                <c:manualLayout>
                  <c:x val="0.12896782350048705"/>
                  <c:y val="-6.8065121091987035E-2"/>
                </c:manualLayout>
              </c:layout>
              <c:tx>
                <c:rich>
                  <a:bodyPr/>
                  <a:lstStyle/>
                  <a:p>
                    <a:r>
                      <a:rPr lang="en-US"/>
                      <a:t>70%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7640-42B9-8AE3-530EE1D7424B}"/>
                </c:ext>
                <c:ext xmlns:c15="http://schemas.microsoft.com/office/drawing/2012/chart" uri="{CE6537A1-D6FC-4f65-9D91-7224C49458BB}"/>
              </c:extLst>
            </c:dLbl>
            <c:dLbl>
              <c:idx val="7"/>
              <c:layout>
                <c:manualLayout>
                  <c:x val="0.1474605036310056"/>
                  <c:y val="-4.1769920590236542E-2"/>
                </c:manualLayout>
              </c:layout>
              <c:tx>
                <c:rich>
                  <a:bodyPr/>
                  <a:lstStyle/>
                  <a:p>
                    <a:r>
                      <a:rPr lang="en-US"/>
                      <a:t>80%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7640-42B9-8AE3-530EE1D7424B}"/>
                </c:ext>
                <c:ext xmlns:c15="http://schemas.microsoft.com/office/drawing/2012/chart" uri="{CE6537A1-D6FC-4f65-9D91-7224C49458BB}"/>
              </c:extLst>
            </c:dLbl>
            <c:dLbl>
              <c:idx val="8"/>
              <c:layout>
                <c:manualLayout>
                  <c:x val="0.11671726742943779"/>
                  <c:y val="5.7803976501003291E-3"/>
                </c:manualLayout>
              </c:layout>
              <c:tx>
                <c:rich>
                  <a:bodyPr/>
                  <a:lstStyle/>
                  <a:p>
                    <a:r>
                      <a:rPr lang="en-US"/>
                      <a:t>90%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7640-42B9-8AE3-530EE1D7424B}"/>
                </c:ext>
                <c:ext xmlns:c15="http://schemas.microsoft.com/office/drawing/2012/chart" uri="{CE6537A1-D6FC-4f65-9D91-7224C49458BB}"/>
              </c:extLst>
            </c:dLbl>
            <c:dLbl>
              <c:idx val="9"/>
              <c:layout>
                <c:manualLayout>
                  <c:x val="9.1415846595536587E-2"/>
                  <c:y val="2.6590693257359924E-2"/>
                </c:manualLayout>
              </c:layout>
              <c:tx>
                <c:rich>
                  <a:bodyPr/>
                  <a:lstStyle/>
                  <a:p>
                    <a:r>
                      <a:rPr lang="en-US"/>
                      <a:t>100%</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7640-42B9-8AE3-530EE1D742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5-7640-42B9-8AE3-530EE1D7424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Aharoni" panose="02010803020104030203" pitchFamily="2" charset="-79"/>
                    <a:ea typeface="+mn-ea"/>
                    <a:cs typeface="Aharoni" panose="02010803020104030203" pitchFamily="2" charset="-79"/>
                  </a:defRPr>
                </a:pPr>
                <a:endParaRPr lang="es-CO"/>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showDataLabelsRange val="1"/>
              </c:ext>
            </c:extLst>
          </c:dLbls>
          <c:val>
            <c:numRef>
              <c:f>'[1]POR RADIR 2'!$C$3:$C$13</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xmlns:c16r2="http://schemas.microsoft.com/office/drawing/2015/06/chart">
            <c:ext xmlns:c16="http://schemas.microsoft.com/office/drawing/2014/chart" uri="{C3380CC4-5D6E-409C-BE32-E72D297353CC}">
              <c16:uniqueId val="{00000016-7640-42B9-8AE3-530EE1D7424B}"/>
            </c:ext>
          </c:extLst>
        </c:ser>
        <c:dLbls>
          <c:showLegendKey val="0"/>
          <c:showVal val="0"/>
          <c:showCatName val="0"/>
          <c:showSerName val="0"/>
          <c:showPercent val="0"/>
          <c:showBubbleSize val="0"/>
          <c:showLeaderLines val="0"/>
        </c:dLbls>
        <c:firstSliceAng val="270"/>
        <c:holeSize val="64"/>
      </c:doughnutChart>
      <c:scatterChart>
        <c:scatterStyle val="smoothMarker"/>
        <c:varyColors val="0"/>
        <c:ser>
          <c:idx val="1"/>
          <c:order val="1"/>
          <c:tx>
            <c:v>marcador</c:v>
          </c:tx>
          <c:spPr>
            <a:ln w="28575" cap="rnd">
              <a:solidFill>
                <a:schemeClr val="accent2"/>
              </a:solidFill>
              <a:round/>
            </a:ln>
            <a:effectLst/>
          </c:spPr>
          <c:marker>
            <c:symbol val="circle"/>
            <c:size val="5"/>
            <c:spPr>
              <a:solidFill>
                <a:schemeClr val="accent2"/>
              </a:solidFill>
              <a:ln w="9525">
                <a:noFill/>
              </a:ln>
              <a:effectLst/>
            </c:spPr>
          </c:marker>
          <c:xVal>
            <c:numRef>
              <c:f>'MATRIZ DE SEGUIMIENTO OBJETIVOS'!#REF!</c:f>
            </c:numRef>
          </c:xVal>
          <c:yVal>
            <c:numRef>
              <c:f>'MATRIZ DE SEGUIMIENTO OBJETIVOS'!#REF!</c:f>
              <c:numCache>
                <c:formatCode>General</c:formatCode>
                <c:ptCount val="1"/>
                <c:pt idx="0">
                  <c:v>1</c:v>
                </c:pt>
              </c:numCache>
            </c:numRef>
          </c:yVal>
          <c:smooth val="1"/>
          <c:extLst xmlns:c16r2="http://schemas.microsoft.com/office/drawing/2015/06/chart">
            <c:ext xmlns:c16="http://schemas.microsoft.com/office/drawing/2014/chart" uri="{C3380CC4-5D6E-409C-BE32-E72D297353CC}">
              <c16:uniqueId val="{00000019-7640-42B9-8AE3-530EE1D7424B}"/>
            </c:ext>
          </c:extLst>
        </c:ser>
        <c:dLbls>
          <c:showLegendKey val="0"/>
          <c:showVal val="0"/>
          <c:showCatName val="0"/>
          <c:showSerName val="0"/>
          <c:showPercent val="0"/>
          <c:showBubbleSize val="0"/>
        </c:dLbls>
        <c:axId val="255795632"/>
        <c:axId val="255795240"/>
      </c:scatterChart>
      <c:valAx>
        <c:axId val="255795240"/>
        <c:scaling>
          <c:orientation val="minMax"/>
          <c:max val="1"/>
          <c:min val="-1"/>
        </c:scaling>
        <c:delete val="1"/>
        <c:axPos val="l"/>
        <c:numFmt formatCode="General" sourceLinked="1"/>
        <c:majorTickMark val="out"/>
        <c:minorTickMark val="none"/>
        <c:tickLblPos val="nextTo"/>
        <c:crossAx val="255795632"/>
        <c:crosses val="autoZero"/>
        <c:crossBetween val="midCat"/>
      </c:valAx>
      <c:valAx>
        <c:axId val="255795632"/>
        <c:scaling>
          <c:orientation val="minMax"/>
          <c:max val="1"/>
          <c:min val="-1"/>
        </c:scaling>
        <c:delete val="1"/>
        <c:axPos val="b"/>
        <c:numFmt formatCode="General" sourceLinked="1"/>
        <c:majorTickMark val="out"/>
        <c:minorTickMark val="none"/>
        <c:tickLblPos val="nextTo"/>
        <c:crossAx val="255795240"/>
        <c:crosses val="autoZero"/>
        <c:crossBetween val="midCat"/>
      </c:valAx>
      <c:spPr>
        <a:noFill/>
        <a:ln w="25400">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3.jpeg"/><Relationship Id="rId1" Type="http://schemas.openxmlformats.org/officeDocument/2006/relationships/chart" Target="../charts/chart7.xml"/><Relationship Id="rId4"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3.jpeg"/><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jpeg"/><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3.jpeg"/><Relationship Id="rId5" Type="http://schemas.openxmlformats.org/officeDocument/2006/relationships/chart" Target="../charts/chart22.xml"/><Relationship Id="rId4"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5.xml"/><Relationship Id="rId7" Type="http://schemas.openxmlformats.org/officeDocument/2006/relationships/image" Target="../media/image3.jpeg"/><Relationship Id="rId12" Type="http://schemas.openxmlformats.org/officeDocument/2006/relationships/chart" Target="../charts/chart33.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2.xml"/><Relationship Id="rId5" Type="http://schemas.openxmlformats.org/officeDocument/2006/relationships/chart" Target="../charts/chart27.xml"/><Relationship Id="rId10" Type="http://schemas.openxmlformats.org/officeDocument/2006/relationships/chart" Target="../charts/chart31.xml"/><Relationship Id="rId4" Type="http://schemas.openxmlformats.org/officeDocument/2006/relationships/chart" Target="../charts/chart26.xml"/><Relationship Id="rId9" Type="http://schemas.openxmlformats.org/officeDocument/2006/relationships/chart" Target="../charts/chart30.xml"/><Relationship Id="rId14"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3.jpeg"/><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4</xdr:col>
      <xdr:colOff>228600</xdr:colOff>
      <xdr:row>3</xdr:row>
      <xdr:rowOff>276224</xdr:rowOff>
    </xdr:from>
    <xdr:to>
      <xdr:col>4</xdr:col>
      <xdr:colOff>733425</xdr:colOff>
      <xdr:row>3</xdr:row>
      <xdr:rowOff>781049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857249"/>
          <a:ext cx="504825" cy="504825"/>
        </a:xfrm>
        <a:prstGeom prst="rect">
          <a:avLst/>
        </a:prstGeom>
        <a:scene3d>
          <a:camera prst="orthographicFront">
            <a:rot lat="0" lon="0" rev="21594000"/>
          </a:camera>
          <a:lightRig rig="threePt" dir="t"/>
        </a:scene3d>
        <a:sp3d z="25400"/>
      </xdr:spPr>
    </xdr:pic>
    <xdr:clientData/>
  </xdr:twoCellAnchor>
  <xdr:twoCellAnchor>
    <xdr:from>
      <xdr:col>2</xdr:col>
      <xdr:colOff>476250</xdr:colOff>
      <xdr:row>13</xdr:row>
      <xdr:rowOff>0</xdr:rowOff>
    </xdr:from>
    <xdr:to>
      <xdr:col>2</xdr:col>
      <xdr:colOff>2409825</xdr:colOff>
      <xdr:row>17</xdr:row>
      <xdr:rowOff>57150</xdr:rowOff>
    </xdr:to>
    <xdr:sp macro="" textlink="">
      <xdr:nvSpPr>
        <xdr:cNvPr id="3" name="Rectángulo redondeado 2"/>
        <xdr:cNvSpPr/>
      </xdr:nvSpPr>
      <xdr:spPr>
        <a:xfrm>
          <a:off x="2000250" y="3838575"/>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SISTEMA</a:t>
          </a:r>
          <a:r>
            <a:rPr lang="es-CO" sz="1100" baseline="0"/>
            <a:t> INTEGRADO DE GESTIÓN </a:t>
          </a:r>
          <a:endParaRPr lang="es-CO" sz="1100"/>
        </a:p>
      </xdr:txBody>
    </xdr:sp>
    <xdr:clientData/>
  </xdr:twoCellAnchor>
  <xdr:twoCellAnchor>
    <xdr:from>
      <xdr:col>3</xdr:col>
      <xdr:colOff>228600</xdr:colOff>
      <xdr:row>13</xdr:row>
      <xdr:rowOff>38100</xdr:rowOff>
    </xdr:from>
    <xdr:to>
      <xdr:col>4</xdr:col>
      <xdr:colOff>1924050</xdr:colOff>
      <xdr:row>17</xdr:row>
      <xdr:rowOff>95250</xdr:rowOff>
    </xdr:to>
    <xdr:sp macro="" textlink="">
      <xdr:nvSpPr>
        <xdr:cNvPr id="4" name="Rectángulo redondeado 3"/>
        <xdr:cNvSpPr/>
      </xdr:nvSpPr>
      <xdr:spPr>
        <a:xfrm>
          <a:off x="4638675" y="3876675"/>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CONTROL</a:t>
          </a:r>
          <a:r>
            <a:rPr lang="es-CO" sz="1100" baseline="0"/>
            <a:t> DE CALIDAD</a:t>
          </a:r>
          <a:endParaRPr lang="es-CO" sz="1100"/>
        </a:p>
      </xdr:txBody>
    </xdr:sp>
    <xdr:clientData/>
  </xdr:twoCellAnchor>
  <xdr:twoCellAnchor>
    <xdr:from>
      <xdr:col>4</xdr:col>
      <xdr:colOff>2838450</xdr:colOff>
      <xdr:row>13</xdr:row>
      <xdr:rowOff>0</xdr:rowOff>
    </xdr:from>
    <xdr:to>
      <xdr:col>4</xdr:col>
      <xdr:colOff>4772025</xdr:colOff>
      <xdr:row>17</xdr:row>
      <xdr:rowOff>57150</xdr:rowOff>
    </xdr:to>
    <xdr:sp macro="" textlink="">
      <xdr:nvSpPr>
        <xdr:cNvPr id="5" name="Rectángulo redondeado 4"/>
        <xdr:cNvSpPr/>
      </xdr:nvSpPr>
      <xdr:spPr>
        <a:xfrm>
          <a:off x="7486650" y="3838575"/>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 COMERCIAL </a:t>
          </a:r>
        </a:p>
      </xdr:txBody>
    </xdr:sp>
    <xdr:clientData/>
  </xdr:twoCellAnchor>
  <xdr:twoCellAnchor>
    <xdr:from>
      <xdr:col>4</xdr:col>
      <xdr:colOff>5810250</xdr:colOff>
      <xdr:row>13</xdr:row>
      <xdr:rowOff>104775</xdr:rowOff>
    </xdr:from>
    <xdr:to>
      <xdr:col>6</xdr:col>
      <xdr:colOff>466725</xdr:colOff>
      <xdr:row>17</xdr:row>
      <xdr:rowOff>161925</xdr:rowOff>
    </xdr:to>
    <xdr:sp macro="" textlink="">
      <xdr:nvSpPr>
        <xdr:cNvPr id="6" name="Rectángulo redondeado 5"/>
        <xdr:cNvSpPr/>
      </xdr:nvSpPr>
      <xdr:spPr>
        <a:xfrm>
          <a:off x="10458450" y="3943350"/>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 FINANCIERA</a:t>
          </a:r>
        </a:p>
      </xdr:txBody>
    </xdr:sp>
    <xdr:clientData/>
  </xdr:twoCellAnchor>
  <xdr:twoCellAnchor>
    <xdr:from>
      <xdr:col>2</xdr:col>
      <xdr:colOff>495300</xdr:colOff>
      <xdr:row>20</xdr:row>
      <xdr:rowOff>66675</xdr:rowOff>
    </xdr:from>
    <xdr:to>
      <xdr:col>2</xdr:col>
      <xdr:colOff>2428875</xdr:colOff>
      <xdr:row>24</xdr:row>
      <xdr:rowOff>123825</xdr:rowOff>
    </xdr:to>
    <xdr:sp macro="" textlink="">
      <xdr:nvSpPr>
        <xdr:cNvPr id="7" name="Rectángulo redondeado 6"/>
        <xdr:cNvSpPr/>
      </xdr:nvSpPr>
      <xdr:spPr>
        <a:xfrm>
          <a:off x="2019300" y="5238750"/>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 DE TALENTO</a:t>
          </a:r>
          <a:r>
            <a:rPr lang="es-CO" sz="1100" baseline="0"/>
            <a:t> HUMANO </a:t>
          </a:r>
          <a:endParaRPr lang="es-CO" sz="1100"/>
        </a:p>
      </xdr:txBody>
    </xdr:sp>
    <xdr:clientData/>
  </xdr:twoCellAnchor>
  <xdr:twoCellAnchor>
    <xdr:from>
      <xdr:col>4</xdr:col>
      <xdr:colOff>28575</xdr:colOff>
      <xdr:row>20</xdr:row>
      <xdr:rowOff>76200</xdr:rowOff>
    </xdr:from>
    <xdr:to>
      <xdr:col>4</xdr:col>
      <xdr:colOff>1962150</xdr:colOff>
      <xdr:row>24</xdr:row>
      <xdr:rowOff>133350</xdr:rowOff>
    </xdr:to>
    <xdr:sp macro="" textlink="">
      <xdr:nvSpPr>
        <xdr:cNvPr id="8" name="Rectángulo redondeado 7"/>
        <xdr:cNvSpPr/>
      </xdr:nvSpPr>
      <xdr:spPr>
        <a:xfrm>
          <a:off x="4676775" y="5248275"/>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COMUNICACIONES INSTITUCIONALES</a:t>
          </a:r>
        </a:p>
      </xdr:txBody>
    </xdr:sp>
    <xdr:clientData/>
  </xdr:twoCellAnchor>
  <xdr:twoCellAnchor>
    <xdr:from>
      <xdr:col>4</xdr:col>
      <xdr:colOff>2828925</xdr:colOff>
      <xdr:row>20</xdr:row>
      <xdr:rowOff>38100</xdr:rowOff>
    </xdr:from>
    <xdr:to>
      <xdr:col>4</xdr:col>
      <xdr:colOff>4762500</xdr:colOff>
      <xdr:row>24</xdr:row>
      <xdr:rowOff>95250</xdr:rowOff>
    </xdr:to>
    <xdr:sp macro="" textlink="">
      <xdr:nvSpPr>
        <xdr:cNvPr id="9" name="Rectángulo redondeado 8"/>
        <xdr:cNvSpPr/>
      </xdr:nvSpPr>
      <xdr:spPr>
        <a:xfrm>
          <a:off x="7477125" y="5210175"/>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a:t>
          </a:r>
          <a:r>
            <a:rPr lang="es-CO" sz="1100" baseline="0"/>
            <a:t> DE PRODUCCIÓN</a:t>
          </a:r>
          <a:endParaRPr lang="es-CO" sz="1100"/>
        </a:p>
      </xdr:txBody>
    </xdr:sp>
    <xdr:clientData/>
  </xdr:twoCellAnchor>
  <xdr:twoCellAnchor>
    <xdr:from>
      <xdr:col>4</xdr:col>
      <xdr:colOff>5800725</xdr:colOff>
      <xdr:row>20</xdr:row>
      <xdr:rowOff>0</xdr:rowOff>
    </xdr:from>
    <xdr:to>
      <xdr:col>6</xdr:col>
      <xdr:colOff>457200</xdr:colOff>
      <xdr:row>24</xdr:row>
      <xdr:rowOff>57150</xdr:rowOff>
    </xdr:to>
    <xdr:sp macro="" textlink="">
      <xdr:nvSpPr>
        <xdr:cNvPr id="10" name="Rectángulo redondeado 9"/>
        <xdr:cNvSpPr/>
      </xdr:nvSpPr>
      <xdr:spPr>
        <a:xfrm>
          <a:off x="10448925" y="5172075"/>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 JURIDICA</a:t>
          </a:r>
          <a:r>
            <a:rPr lang="es-CO" sz="1100" baseline="0"/>
            <a:t> </a:t>
          </a:r>
          <a:r>
            <a:rPr lang="es-CO" sz="1100"/>
            <a:t> </a:t>
          </a:r>
        </a:p>
      </xdr:txBody>
    </xdr:sp>
    <xdr:clientData/>
  </xdr:twoCellAnchor>
  <xdr:twoCellAnchor>
    <xdr:from>
      <xdr:col>2</xdr:col>
      <xdr:colOff>1752600</xdr:colOff>
      <xdr:row>26</xdr:row>
      <xdr:rowOff>142875</xdr:rowOff>
    </xdr:from>
    <xdr:to>
      <xdr:col>4</xdr:col>
      <xdr:colOff>561975</xdr:colOff>
      <xdr:row>31</xdr:row>
      <xdr:rowOff>9525</xdr:rowOff>
    </xdr:to>
    <xdr:sp macro="" textlink="">
      <xdr:nvSpPr>
        <xdr:cNvPr id="11" name="Rectángulo redondeado 10"/>
        <xdr:cNvSpPr/>
      </xdr:nvSpPr>
      <xdr:spPr>
        <a:xfrm>
          <a:off x="3276600" y="6457950"/>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a:t>
          </a:r>
          <a:r>
            <a:rPr lang="es-CO" sz="1100" baseline="0"/>
            <a:t> TIC</a:t>
          </a:r>
          <a:endParaRPr lang="es-CO" sz="1100"/>
        </a:p>
      </xdr:txBody>
    </xdr:sp>
    <xdr:clientData/>
  </xdr:twoCellAnchor>
  <xdr:twoCellAnchor>
    <xdr:from>
      <xdr:col>4</xdr:col>
      <xdr:colOff>1724025</xdr:colOff>
      <xdr:row>26</xdr:row>
      <xdr:rowOff>142875</xdr:rowOff>
    </xdr:from>
    <xdr:to>
      <xdr:col>4</xdr:col>
      <xdr:colOff>3657600</xdr:colOff>
      <xdr:row>31</xdr:row>
      <xdr:rowOff>9525</xdr:rowOff>
    </xdr:to>
    <xdr:sp macro="" textlink="">
      <xdr:nvSpPr>
        <xdr:cNvPr id="12" name="Rectángulo redondeado 11"/>
        <xdr:cNvSpPr/>
      </xdr:nvSpPr>
      <xdr:spPr>
        <a:xfrm>
          <a:off x="6372225" y="6457950"/>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INNOVACIÓN</a:t>
          </a:r>
          <a:r>
            <a:rPr lang="es-CO" sz="1100" baseline="0"/>
            <a:t> Y DESARROLLO</a:t>
          </a:r>
          <a:endParaRPr lang="es-CO" sz="1100"/>
        </a:p>
      </xdr:txBody>
    </xdr:sp>
    <xdr:clientData/>
  </xdr:twoCellAnchor>
  <xdr:twoCellAnchor>
    <xdr:from>
      <xdr:col>4</xdr:col>
      <xdr:colOff>4610100</xdr:colOff>
      <xdr:row>26</xdr:row>
      <xdr:rowOff>133350</xdr:rowOff>
    </xdr:from>
    <xdr:to>
      <xdr:col>5</xdr:col>
      <xdr:colOff>28575</xdr:colOff>
      <xdr:row>31</xdr:row>
      <xdr:rowOff>0</xdr:rowOff>
    </xdr:to>
    <xdr:sp macro="" textlink="">
      <xdr:nvSpPr>
        <xdr:cNvPr id="13" name="Rectángulo redondeado 12"/>
        <xdr:cNvSpPr/>
      </xdr:nvSpPr>
      <xdr:spPr>
        <a:xfrm>
          <a:off x="9258300" y="6448425"/>
          <a:ext cx="1933575" cy="8191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 AMBIENTAL</a:t>
          </a:r>
          <a:r>
            <a:rPr lang="es-CO" sz="1100" baseline="0"/>
            <a:t> </a:t>
          </a:r>
          <a:endParaRPr lang="es-CO"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0.40942</cdr:x>
      <cdr:y>0.57487</cdr:y>
    </cdr:from>
    <cdr:to>
      <cdr:x>0.66024</cdr:x>
      <cdr:y>0.64006</cdr:y>
    </cdr:to>
    <cdr:sp macro="" textlink="'GESTIÓN FINANCIERA'!$P$11">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4043990" y="5750353"/>
          <a:ext cx="2477457" cy="65203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EB26D730-13FC-4186-85C3-47E19679E11A}" type="TxLink">
            <a:rPr lang="en-US" sz="2500" b="0" i="0" u="none" strike="noStrike">
              <a:solidFill>
                <a:schemeClr val="bg1"/>
              </a:solidFill>
              <a:latin typeface="Arial"/>
              <a:cs typeface="Arial"/>
            </a:rPr>
            <a:pPr algn="ctr"/>
            <a:t>61%</a:t>
          </a:fld>
          <a:endParaRPr lang="es-CO" sz="2500">
            <a:solidFill>
              <a:schemeClr val="bg1"/>
            </a:solidFill>
          </a:endParaRPr>
        </a:p>
      </cdr:txBody>
    </cdr:sp>
  </cdr:relSizeAnchor>
  <cdr:relSizeAnchor xmlns:cdr="http://schemas.openxmlformats.org/drawingml/2006/chartDrawing">
    <cdr:from>
      <cdr:x>0.07033</cdr:x>
      <cdr:y>0.67798</cdr:y>
    </cdr:from>
    <cdr:to>
      <cdr:x>0.95678</cdr:x>
      <cdr:y>0.88335</cdr:y>
    </cdr:to>
    <cdr:sp macro="" textlink="'GESTIÓN FINANCIERA'!$D$10">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12528" y="11380008"/>
          <a:ext cx="14022472" cy="3447243"/>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6E26DC85-8D1D-48E9-940C-3C23F1544530}" type="TxLink">
            <a:rPr lang="en-US" sz="2400" b="0" i="0" u="none" strike="noStrike">
              <a:solidFill>
                <a:schemeClr val="bg1"/>
              </a:solidFill>
              <a:latin typeface="Arial"/>
              <a:cs typeface="Arial"/>
            </a:rPr>
            <a:pPr algn="ctr"/>
            <a:t>
Optimizar los recursos económicos de la Empresa de Licores de Cundinamarca, en beneficio de los Cundinamarqueses y demás partes interesadas.
</a:t>
          </a:fld>
          <a:endParaRPr lang="es-CO" sz="2400">
            <a:solidFill>
              <a:schemeClr val="bg1"/>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0.07529</cdr:x>
      <cdr:y>0.69308</cdr:y>
    </cdr:from>
    <cdr:to>
      <cdr:x>0.96174</cdr:x>
      <cdr:y>0.9646</cdr:y>
    </cdr:to>
    <cdr:sp macro="" textlink="'GESTIÓN FINANCIERA'!#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07926" y="4244115"/>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E61BC05-5784-4C4F-BC9F-3E9054470808}"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GESTIÓN FINANCIERA'!#REF!">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41B2596-081C-445E-89DC-928723636BCD}" type="TxLink">
            <a:rPr lang="en-US" sz="2400" b="0" i="0" u="none" strike="noStrike">
              <a:solidFill>
                <a:schemeClr val="bg1"/>
              </a:solidFill>
              <a:latin typeface="Arial"/>
              <a:cs typeface="Arial"/>
            </a:rPr>
            <a:pPr algn="ctr"/>
            <a:t>0%</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12.xml><?xml version="1.0" encoding="utf-8"?>
<xdr:wsDr xmlns:xdr="http://schemas.openxmlformats.org/drawingml/2006/spreadsheetDrawing" xmlns:a="http://schemas.openxmlformats.org/drawingml/2006/main">
  <xdr:twoCellAnchor>
    <xdr:from>
      <xdr:col>16</xdr:col>
      <xdr:colOff>937381</xdr:colOff>
      <xdr:row>17</xdr:row>
      <xdr:rowOff>426799</xdr:rowOff>
    </xdr:from>
    <xdr:to>
      <xdr:col>17</xdr:col>
      <xdr:colOff>13705417</xdr:colOff>
      <xdr:row>45</xdr:row>
      <xdr:rowOff>0</xdr:rowOff>
    </xdr:to>
    <xdr:graphicFrame macro="">
      <xdr:nvGraphicFramePr>
        <xdr:cNvPr id="5" name="Gráfico 4">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2119354</xdr:colOff>
      <xdr:row>1</xdr:row>
      <xdr:rowOff>208691</xdr:rowOff>
    </xdr:from>
    <xdr:to>
      <xdr:col>4</xdr:col>
      <xdr:colOff>322184</xdr:colOff>
      <xdr:row>4</xdr:row>
      <xdr:rowOff>310012</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1854" y="451146"/>
          <a:ext cx="2099421" cy="1556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807476</xdr:colOff>
      <xdr:row>47</xdr:row>
      <xdr:rowOff>119063</xdr:rowOff>
    </xdr:from>
    <xdr:to>
      <xdr:col>17</xdr:col>
      <xdr:colOff>12259835</xdr:colOff>
      <xdr:row>49</xdr:row>
      <xdr:rowOff>2333625</xdr:rowOff>
    </xdr:to>
    <xdr:graphicFrame macro="">
      <xdr:nvGraphicFramePr>
        <xdr:cNvPr id="10" name="Gráfico 9">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807476</xdr:colOff>
      <xdr:row>47</xdr:row>
      <xdr:rowOff>119063</xdr:rowOff>
    </xdr:from>
    <xdr:to>
      <xdr:col>17</xdr:col>
      <xdr:colOff>12259835</xdr:colOff>
      <xdr:row>49</xdr:row>
      <xdr:rowOff>2333625</xdr:rowOff>
    </xdr:to>
    <xdr:graphicFrame macro="">
      <xdr:nvGraphicFramePr>
        <xdr:cNvPr id="19" name="Gráfico 18">
          <a:extLst>
            <a:ext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0.40909</cdr:x>
      <cdr:y>0.5944</cdr:y>
    </cdr:from>
    <cdr:to>
      <cdr:x>0.65991</cdr:x>
      <cdr:y>0.69276</cdr:y>
    </cdr:to>
    <cdr:sp macro="" textlink="'TALENTO HUMANO'!$R$10">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6557560" y="5167778"/>
          <a:ext cx="4020550" cy="855153"/>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2C4DA302-14D5-4C2F-86A8-A13EE6006213}" type="TxLink">
            <a:rPr lang="en-US" sz="2500" b="0" i="0" u="none" strike="noStrike">
              <a:solidFill>
                <a:schemeClr val="bg1"/>
              </a:solidFill>
              <a:latin typeface="Arial"/>
              <a:cs typeface="Arial"/>
            </a:rPr>
            <a:pPr algn="ctr"/>
            <a:t>32%</a:t>
          </a:fld>
          <a:endParaRPr lang="es-CO" sz="2500">
            <a:solidFill>
              <a:schemeClr val="bg1"/>
            </a:solidFill>
          </a:endParaRPr>
        </a:p>
      </cdr:txBody>
    </cdr:sp>
  </cdr:relSizeAnchor>
  <cdr:relSizeAnchor xmlns:cdr="http://schemas.openxmlformats.org/drawingml/2006/chartDrawing">
    <cdr:from>
      <cdr:x>0.06793</cdr:x>
      <cdr:y>0.71075</cdr:y>
    </cdr:from>
    <cdr:to>
      <cdr:x>0.95438</cdr:x>
      <cdr:y>0.98227</cdr:y>
    </cdr:to>
    <cdr:sp macro="" textlink="'TALENTO HUMANO'!$D$10">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060F19CA-629F-455E-9952-9ED259E72123}" type="TxLink">
            <a:rPr lang="en-US" sz="2400" b="0" i="0" u="none" strike="noStrike">
              <a:solidFill>
                <a:schemeClr val="bg1"/>
              </a:solidFill>
              <a:latin typeface="Arial"/>
              <a:cs typeface="Arial"/>
            </a:rPr>
            <a:pPr algn="ctr"/>
            <a:t>
Identificar, capturar y compartir el conocimiento y fortalecer las competencias del capital humano de la Empresa de Licores de Cundinamarca.</a:t>
          </a:fld>
          <a:endParaRPr lang="es-CO" sz="4800">
            <a:solidFill>
              <a:schemeClr val="bg1"/>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TALENTO HUMANO'!$D$46">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004BD17D-EFBF-4EB4-94F8-FCAFB69C1BBF}" type="TxLink">
            <a:rPr lang="en-US" sz="2400" b="0" i="0" u="none" strike="noStrike">
              <a:solidFill>
                <a:schemeClr val="bg1"/>
              </a:solidFill>
              <a:latin typeface="Arial"/>
              <a:cs typeface="Arial"/>
            </a:rPr>
            <a:pPr algn="ctr"/>
            <a:t>Realizar acciones para prevenir enfermedades laborales, accidentes e incidentes de trabajo, y para brindar un ambiente sano y seguro tanto a los servidores públicos como a nuestros usuarios. Gestión SST.</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TALENTO HUMANO'!#REF!">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D22C219E-E839-418C-A15A-9B5504DA7EE9}" type="TxLink">
            <a:rPr lang="en-US" sz="2500" b="0" i="0" u="none" strike="noStrike">
              <a:solidFill>
                <a:srgbClr val="FFFFFF"/>
              </a:solidFill>
              <a:latin typeface="Arial"/>
              <a:cs typeface="Arial"/>
            </a:rPr>
            <a:pPr algn="ctr"/>
            <a:t>#¡REF!</a:t>
          </a:fld>
          <a:endParaRPr lang="es-CO" sz="25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15.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TALENTO HUMANO'!$D$46">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004BD17D-EFBF-4EB4-94F8-FCAFB69C1BBF}" type="TxLink">
            <a:rPr lang="en-US" sz="2400" b="0" i="0" u="none" strike="noStrike">
              <a:solidFill>
                <a:schemeClr val="bg1"/>
              </a:solidFill>
              <a:latin typeface="Arial"/>
              <a:cs typeface="Arial"/>
            </a:rPr>
            <a:pPr algn="ctr"/>
            <a:t>Realizar acciones para prevenir enfermedades laborales, accidentes e incidentes de trabajo, y para brindar un ambiente sano y seguro tanto a los servidores públicos como a nuestros usuarios. Gestión SST.</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TALENTO HUMANO'!$P$48">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p xmlns:a="http://schemas.openxmlformats.org/drawingml/2006/main">
          <a:pPr algn="ctr"/>
          <a:fld id="{B91FB5CE-131E-4A55-A7E3-85BBFA09DCF3}" type="TxLink">
            <a:rPr lang="en-US" sz="1400" b="0" i="0" u="none" strike="noStrike">
              <a:solidFill>
                <a:schemeClr val="bg1"/>
              </a:solidFill>
              <a:latin typeface="Arial"/>
              <a:cs typeface="Arial"/>
            </a:rPr>
            <a:pPr algn="ctr"/>
            <a:t>36%</a:t>
          </a:fld>
          <a:endParaRPr lang="en-US" sz="25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16.xml><?xml version="1.0" encoding="utf-8"?>
<xdr:wsDr xmlns:xdr="http://schemas.openxmlformats.org/drawingml/2006/spreadsheetDrawing" xmlns:a="http://schemas.openxmlformats.org/drawingml/2006/main">
  <xdr:twoCellAnchor>
    <xdr:from>
      <xdr:col>16</xdr:col>
      <xdr:colOff>1008075</xdr:colOff>
      <xdr:row>10</xdr:row>
      <xdr:rowOff>372867</xdr:rowOff>
    </xdr:from>
    <xdr:to>
      <xdr:col>17</xdr:col>
      <xdr:colOff>13522476</xdr:colOff>
      <xdr:row>13</xdr:row>
      <xdr:rowOff>473227</xdr:rowOff>
    </xdr:to>
    <xdr:graphicFrame macro="">
      <xdr:nvGraphicFramePr>
        <xdr:cNvPr id="6" name="Gráfico 5">
          <a:extLst>
            <a:ext uri="{FF2B5EF4-FFF2-40B4-BE49-F238E27FC236}">
              <a16:creationId xmlns:a16="http://schemas.microsoft.com/office/drawing/2014/main" xmlns=""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1670587</xdr:colOff>
      <xdr:row>1</xdr:row>
      <xdr:rowOff>346861</xdr:rowOff>
    </xdr:from>
    <xdr:to>
      <xdr:col>3</xdr:col>
      <xdr:colOff>1032982</xdr:colOff>
      <xdr:row>4</xdr:row>
      <xdr:rowOff>448182</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4989" y="595339"/>
          <a:ext cx="2282015" cy="1550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2909454</xdr:colOff>
      <xdr:row>14</xdr:row>
      <xdr:rowOff>0</xdr:rowOff>
    </xdr:from>
    <xdr:to>
      <xdr:col>17</xdr:col>
      <xdr:colOff>12685197</xdr:colOff>
      <xdr:row>14</xdr:row>
      <xdr:rowOff>17319</xdr:rowOff>
    </xdr:to>
    <xdr:graphicFrame macro="">
      <xdr:nvGraphicFramePr>
        <xdr:cNvPr id="14" name="Gráfico 13">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COMUNICACIONES INSTITUCIONALES '!$D$10">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4B7E3D04-7B3D-45A3-BEE6-58415E3F3E38}" type="TxLink">
            <a:rPr lang="en-US" sz="2000" b="0" i="0" u="none" strike="noStrike">
              <a:solidFill>
                <a:schemeClr val="bg1"/>
              </a:solidFill>
              <a:latin typeface="Arial"/>
              <a:cs typeface="Arial"/>
            </a:rPr>
            <a:pPr algn="ctr"/>
            <a:t>Fortalecer el uso de los canales de comunicación en procura de satisfacer las necesidades y expectativas de las partes interesadas.</a:t>
          </a:fld>
          <a:endParaRPr lang="es-CO" sz="4400">
            <a:solidFill>
              <a:schemeClr val="bg1"/>
            </a:solidFill>
          </a:endParaRPr>
        </a:p>
      </cdr:txBody>
    </cdr:sp>
  </cdr:relSizeAnchor>
  <cdr:relSizeAnchor xmlns:cdr="http://schemas.openxmlformats.org/drawingml/2006/chartDrawing">
    <cdr:from>
      <cdr:x>0.41579</cdr:x>
      <cdr:y>0.55597</cdr:y>
    </cdr:from>
    <cdr:to>
      <cdr:x>0.6222</cdr:x>
      <cdr:y>0.69916</cdr:y>
    </cdr:to>
    <cdr:sp macro="" textlink="'COMUNICACIONES INSTITUCIONALES '!$P$11">
      <cdr:nvSpPr>
        <cdr:cNvPr id="4" name="Rectángulo: esquinas redondeadas 2">
          <a:extLst xmlns:a="http://schemas.openxmlformats.org/drawingml/2006/main">
            <a:ext uri="{FF2B5EF4-FFF2-40B4-BE49-F238E27FC236}">
              <a16:creationId xmlns="" xmlns:a16="http://schemas.microsoft.com/office/drawing/2014/main" xmlns:lc="http://schemas.openxmlformats.org/drawingml/2006/lockedCanvas" id="{109B3D06-B374-4D16-8A9F-E76F2841F8B4}"/>
            </a:ext>
          </a:extLst>
        </cdr:cNvPr>
        <cdr:cNvSpPr/>
      </cdr:nvSpPr>
      <cdr:spPr>
        <a:xfrm xmlns:a="http://schemas.openxmlformats.org/drawingml/2006/main">
          <a:off x="6559550" y="1941368"/>
          <a:ext cx="3256239" cy="49997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469C3F60-67D3-4A4C-9AE6-B58F38469237}" type="TxLink">
            <a:rPr lang="en-US" sz="1400" b="0" i="0" u="none" strike="noStrike">
              <a:solidFill>
                <a:schemeClr val="bg1"/>
              </a:solidFill>
              <a:latin typeface="Arial"/>
              <a:cs typeface="Arial"/>
            </a:rPr>
            <a:pPr algn="ctr"/>
            <a:t>65%</a:t>
          </a:fld>
          <a:endParaRPr lang="es-CO" sz="2500">
            <a:solidFill>
              <a:schemeClr val="bg1"/>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0.07529</cdr:x>
      <cdr:y>0.69308</cdr:y>
    </cdr:from>
    <cdr:to>
      <cdr:x>0.96174</cdr:x>
      <cdr:y>0.9646</cdr:y>
    </cdr:to>
    <cdr:sp macro="" textlink="'COMUNICACIONES INSTITUCIONALES '!#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07926" y="4244115"/>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E61BC05-5784-4C4F-BC9F-3E9054470808}"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COMUNICACIONES INSTITUCIONALES '!#REF!">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41B2596-081C-445E-89DC-928723636BCD}" type="TxLink">
            <a:rPr lang="en-US" sz="2400" b="0" i="0" u="none" strike="noStrike">
              <a:solidFill>
                <a:schemeClr val="bg1"/>
              </a:solidFill>
              <a:latin typeface="Arial"/>
              <a:cs typeface="Arial"/>
            </a:rPr>
            <a:pPr algn="ctr"/>
            <a:t>#¡REF!</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19.xml><?xml version="1.0" encoding="utf-8"?>
<xdr:wsDr xmlns:xdr="http://schemas.openxmlformats.org/drawingml/2006/spreadsheetDrawing" xmlns:a="http://schemas.openxmlformats.org/drawingml/2006/main">
  <xdr:twoCellAnchor>
    <xdr:from>
      <xdr:col>16</xdr:col>
      <xdr:colOff>952498</xdr:colOff>
      <xdr:row>12</xdr:row>
      <xdr:rowOff>420219</xdr:rowOff>
    </xdr:from>
    <xdr:to>
      <xdr:col>17</xdr:col>
      <xdr:colOff>13501687</xdr:colOff>
      <xdr:row>17</xdr:row>
      <xdr:rowOff>0</xdr:rowOff>
    </xdr:to>
    <xdr:graphicFrame macro="">
      <xdr:nvGraphicFramePr>
        <xdr:cNvPr id="7" name="Gráfico 6">
          <a:extLst>
            <a:ext uri="{FF2B5EF4-FFF2-40B4-BE49-F238E27FC236}">
              <a16:creationId xmlns:a16="http://schemas.microsoft.com/office/drawing/2014/main" xmlns=""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1152923</xdr:colOff>
      <xdr:row>1</xdr:row>
      <xdr:rowOff>284741</xdr:rowOff>
    </xdr:from>
    <xdr:to>
      <xdr:col>3</xdr:col>
      <xdr:colOff>121894</xdr:colOff>
      <xdr:row>4</xdr:row>
      <xdr:rowOff>386062</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7325" y="533219"/>
          <a:ext cx="1453754" cy="150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2909454</xdr:colOff>
      <xdr:row>17</xdr:row>
      <xdr:rowOff>0</xdr:rowOff>
    </xdr:from>
    <xdr:to>
      <xdr:col>17</xdr:col>
      <xdr:colOff>12685197</xdr:colOff>
      <xdr:row>17</xdr:row>
      <xdr:rowOff>17319</xdr:rowOff>
    </xdr:to>
    <xdr:graphicFrame macro="">
      <xdr:nvGraphicFramePr>
        <xdr:cNvPr id="14" name="Gráfico 13">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169334</xdr:colOff>
      <xdr:row>12</xdr:row>
      <xdr:rowOff>1135176</xdr:rowOff>
    </xdr:from>
    <xdr:to>
      <xdr:col>13</xdr:col>
      <xdr:colOff>4812</xdr:colOff>
      <xdr:row>12</xdr:row>
      <xdr:rowOff>1698600</xdr:rowOff>
    </xdr:to>
    <mc:AlternateContent xmlns:mc="http://schemas.openxmlformats.org/markup-compatibility/2006" xmlns:a14="http://schemas.microsoft.com/office/drawing/2010/main">
      <mc:Choice Requires="a14">
        <xdr:sp macro="" textlink="">
          <xdr:nvSpPr>
            <xdr:cNvPr id="17" name="CuadroTexto 7">
              <a:extLst>
                <a:ext uri="{FF2B5EF4-FFF2-40B4-BE49-F238E27FC236}">
                  <a16:creationId xmlns:a16="http://schemas.microsoft.com/office/drawing/2014/main" xmlns="" id="{5BDD30AA-1E71-5549-8B64-F9D8D8999599}"/>
                </a:ext>
              </a:extLst>
            </xdr:cNvPr>
            <xdr:cNvSpPr txBox="1"/>
          </xdr:nvSpPr>
          <xdr:spPr>
            <a:xfrm>
              <a:off x="34128030" y="10763709"/>
              <a:ext cx="6772162" cy="563424"/>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14:m>
                <m:oMathPara xmlns:m="http://schemas.openxmlformats.org/officeDocument/2006/math">
                  <m:oMathParaPr>
                    <m:jc m:val="left"/>
                  </m:oMathParaPr>
                  <m:oMath xmlns:m="http://schemas.openxmlformats.org/officeDocument/2006/math">
                    <m:r>
                      <a:rPr lang="es-CO" sz="1200" b="1" i="1" kern="1200">
                        <a:solidFill>
                          <a:schemeClr val="tx1"/>
                        </a:solidFill>
                        <a:latin typeface="Cambria Math" panose="02040503050406030204" pitchFamily="18" charset="0"/>
                        <a:ea typeface="+mn-ea"/>
                        <a:cs typeface="+mn-cs"/>
                      </a:rPr>
                      <m:t>𝑬𝒇𝒆𝒄𝒕𝒊𝒗𝒊𝒅𝒂𝒅</m:t>
                    </m:r>
                    <m:r>
                      <a:rPr lang="es-CO" sz="1200" b="1" i="1" kern="1200">
                        <a:solidFill>
                          <a:schemeClr val="tx1"/>
                        </a:solidFill>
                        <a:latin typeface="Cambria Math" panose="02040503050406030204" pitchFamily="18" charset="0"/>
                        <a:ea typeface="+mn-ea"/>
                        <a:cs typeface="+mn-cs"/>
                      </a:rPr>
                      <m:t> </m:t>
                    </m:r>
                    <m:r>
                      <a:rPr lang="es-CO" sz="1200" b="1" i="1" kern="1200">
                        <a:solidFill>
                          <a:schemeClr val="tx1"/>
                        </a:solidFill>
                        <a:latin typeface="Cambria Math" panose="02040503050406030204" pitchFamily="18" charset="0"/>
                        <a:ea typeface="+mn-ea"/>
                        <a:cs typeface="+mn-cs"/>
                      </a:rPr>
                      <m:t>𝒆𝒏</m:t>
                    </m:r>
                    <m:r>
                      <a:rPr lang="es-CO" sz="1200" b="1" i="1" kern="1200">
                        <a:solidFill>
                          <a:schemeClr val="tx1"/>
                        </a:solidFill>
                        <a:latin typeface="Cambria Math" panose="02040503050406030204" pitchFamily="18" charset="0"/>
                        <a:ea typeface="+mn-ea"/>
                        <a:cs typeface="+mn-cs"/>
                      </a:rPr>
                      <m:t> </m:t>
                    </m:r>
                    <m:r>
                      <a:rPr lang="es-CO" sz="1200" b="1" i="1" kern="1200">
                        <a:solidFill>
                          <a:schemeClr val="tx1"/>
                        </a:solidFill>
                        <a:latin typeface="Cambria Math" panose="02040503050406030204" pitchFamily="18" charset="0"/>
                        <a:ea typeface="+mn-ea"/>
                        <a:cs typeface="+mn-cs"/>
                      </a:rPr>
                      <m:t>𝒍𝒂</m:t>
                    </m:r>
                    <m:r>
                      <a:rPr lang="es-CO" sz="1200" b="1" i="1" kern="1200">
                        <a:solidFill>
                          <a:schemeClr val="tx1"/>
                        </a:solidFill>
                        <a:latin typeface="Cambria Math" panose="02040503050406030204" pitchFamily="18" charset="0"/>
                        <a:ea typeface="+mn-ea"/>
                        <a:cs typeface="+mn-cs"/>
                      </a:rPr>
                      <m:t> </m:t>
                    </m:r>
                    <m:r>
                      <a:rPr lang="es-CO" sz="1200" b="1" i="1" kern="1200">
                        <a:solidFill>
                          <a:schemeClr val="tx1"/>
                        </a:solidFill>
                        <a:latin typeface="Cambria Math" panose="02040503050406030204" pitchFamily="18" charset="0"/>
                        <a:ea typeface="+mn-ea"/>
                        <a:cs typeface="+mn-cs"/>
                      </a:rPr>
                      <m:t>𝒑𝒍𝒂𝒏𝒊𝒇𝒊𝒄𝒂𝒄𝒊</m:t>
                    </m:r>
                    <m:r>
                      <m:rPr>
                        <m:sty m:val="p"/>
                      </m:rPr>
                      <a:rPr lang="es-CO" sz="1200" b="1" i="1" kern="1200">
                        <a:solidFill>
                          <a:schemeClr val="tx1"/>
                        </a:solidFill>
                        <a:latin typeface="Cambria Math" panose="02040503050406030204" pitchFamily="18" charset="0"/>
                        <a:ea typeface="+mn-ea"/>
                        <a:cs typeface="+mn-cs"/>
                      </a:rPr>
                      <m:t>o</m:t>
                    </m:r>
                    <m:r>
                      <a:rPr lang="es-CO" sz="1200" b="1" i="1" kern="1200">
                        <a:solidFill>
                          <a:schemeClr val="tx1"/>
                        </a:solidFill>
                        <a:latin typeface="Cambria Math" panose="02040503050406030204" pitchFamily="18" charset="0"/>
                        <a:ea typeface="+mn-ea"/>
                        <a:cs typeface="+mn-cs"/>
                      </a:rPr>
                      <m:t>𝒏</m:t>
                    </m:r>
                    <m:r>
                      <a:rPr lang="es-CO" sz="1200" b="1" i="1" kern="1200">
                        <a:solidFill>
                          <a:schemeClr val="tx1"/>
                        </a:solidFill>
                        <a:latin typeface="Cambria Math" panose="02040503050406030204" pitchFamily="18" charset="0"/>
                        <a:ea typeface="+mn-ea"/>
                        <a:cs typeface="+mn-cs"/>
                      </a:rPr>
                      <m:t>=</m:t>
                    </m:r>
                    <m:f>
                      <m:fPr>
                        <m:ctrlPr>
                          <a:rPr lang="es-CO" sz="1200" b="0" i="1" kern="1200">
                            <a:solidFill>
                              <a:schemeClr val="tx1"/>
                            </a:solidFill>
                            <a:latin typeface="Cambria Math" panose="02040503050406030204" pitchFamily="18" charset="0"/>
                            <a:ea typeface="+mn-ea"/>
                            <a:cs typeface="+mn-cs"/>
                          </a:rPr>
                        </m:ctrlPr>
                      </m:fPr>
                      <m:num>
                        <m:r>
                          <a:rPr lang="es-CO" sz="1200" b="0" i="1" kern="1200">
                            <a:solidFill>
                              <a:schemeClr val="tx1"/>
                            </a:solidFill>
                            <a:latin typeface="Cambria Math" panose="02040503050406030204" pitchFamily="18" charset="0"/>
                            <a:ea typeface="+mn-ea"/>
                            <a:cs typeface="+mn-cs"/>
                          </a:rPr>
                          <m:t>𝑈𝑛𝑖𝑑𝑎𝑑𝑑𝑒𝑠</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𝑃𝑟𝑜𝑑𝑢𝑐𝑖𝑑𝑎𝑠</m:t>
                        </m:r>
                      </m:num>
                      <m:den>
                        <m:r>
                          <a:rPr lang="es-CO" sz="1200" b="0" i="1" kern="1200">
                            <a:solidFill>
                              <a:schemeClr val="tx1"/>
                            </a:solidFill>
                            <a:latin typeface="Cambria Math" panose="02040503050406030204" pitchFamily="18" charset="0"/>
                            <a:ea typeface="+mn-ea"/>
                            <a:cs typeface="+mn-cs"/>
                          </a:rPr>
                          <m:t>𝑈𝑛𝑖𝑑𝑎𝑑𝑒𝑠</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𝑝𝑙𝑎𝑛𝑖𝑓𝑖𝑐𝑎𝑑𝑎𝑠</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𝑑𝑒</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𝑎𝑐𝑢𝑒𝑟𝑑𝑜</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𝑎</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𝑐𝑎𝑝𝑎𝑐𝑖𝑑𝑎𝑑</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𝑡𝑒</m:t>
                        </m:r>
                        <m:r>
                          <m:rPr>
                            <m:sty m:val="p"/>
                          </m:rPr>
                          <a:rPr lang="es-CO" sz="1200" b="0" i="1" kern="1200">
                            <a:solidFill>
                              <a:schemeClr val="tx1"/>
                            </a:solidFill>
                            <a:latin typeface="Cambria Math" panose="02040503050406030204" pitchFamily="18" charset="0"/>
                            <a:ea typeface="+mn-ea"/>
                            <a:cs typeface="+mn-cs"/>
                          </a:rPr>
                          <m:t>o</m:t>
                        </m:r>
                        <m:r>
                          <a:rPr lang="es-CO" sz="1200" b="0" i="1" kern="1200">
                            <a:solidFill>
                              <a:schemeClr val="tx1"/>
                            </a:solidFill>
                            <a:latin typeface="Cambria Math" panose="02040503050406030204" pitchFamily="18" charset="0"/>
                            <a:ea typeface="+mn-ea"/>
                            <a:cs typeface="+mn-cs"/>
                          </a:rPr>
                          <m:t>𝑟𝑖𝑐𝑎</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𝑝𝑟𝑜𝑝𝑢𝑒𝑠𝑡𝑎</m:t>
                        </m:r>
                      </m:den>
                    </m:f>
                    <m:r>
                      <a:rPr lang="es-CO" sz="1200" b="0" i="1" kern="1200">
                        <a:solidFill>
                          <a:schemeClr val="tx1"/>
                        </a:solidFill>
                        <a:latin typeface="Cambria Math" panose="02040503050406030204" pitchFamily="18" charset="0"/>
                        <a:ea typeface="+mn-ea"/>
                        <a:cs typeface="+mn-cs"/>
                      </a:rPr>
                      <m:t>∗</m:t>
                    </m:r>
                    <m:r>
                      <a:rPr lang="es-CO" sz="1200" b="1" i="1" kern="1200">
                        <a:solidFill>
                          <a:schemeClr val="tx1"/>
                        </a:solidFill>
                        <a:latin typeface="Cambria Math" panose="02040503050406030204" pitchFamily="18" charset="0"/>
                        <a:ea typeface="+mn-ea"/>
                        <a:cs typeface="+mn-cs"/>
                      </a:rPr>
                      <m:t>100%</m:t>
                    </m:r>
                  </m:oMath>
                </m:oMathPara>
              </a14:m>
              <a:endParaRPr lang="es-CO" sz="1200" b="1" i="1" kern="1200">
                <a:solidFill>
                  <a:schemeClr val="tx1"/>
                </a:solidFill>
                <a:latin typeface="Cambria Math" panose="02040503050406030204" pitchFamily="18" charset="0"/>
                <a:ea typeface="+mn-ea"/>
                <a:cs typeface="+mn-cs"/>
              </a:endParaRPr>
            </a:p>
          </xdr:txBody>
        </xdr:sp>
      </mc:Choice>
      <mc:Fallback xmlns="">
        <xdr:sp macro="" textlink="">
          <xdr:nvSpPr>
            <xdr:cNvPr id="17" name="CuadroTexto 7">
              <a:extLst>
                <a:ext uri="{FF2B5EF4-FFF2-40B4-BE49-F238E27FC236}">
                  <a16:creationId xmlns="" xmlns:a16="http://schemas.microsoft.com/office/drawing/2014/main" xmlns:a14="http://schemas.microsoft.com/office/drawing/2010/main" id="{5BDD30AA-1E71-5549-8B64-F9D8D8999599}"/>
                </a:ext>
              </a:extLst>
            </xdr:cNvPr>
            <xdr:cNvSpPr txBox="1"/>
          </xdr:nvSpPr>
          <xdr:spPr>
            <a:xfrm>
              <a:off x="34128030" y="10763709"/>
              <a:ext cx="6772162" cy="563424"/>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1200" b="1" i="0" kern="1200">
                  <a:solidFill>
                    <a:schemeClr val="tx1"/>
                  </a:solidFill>
                  <a:latin typeface="Cambria Math" panose="02040503050406030204" pitchFamily="18" charset="0"/>
                  <a:ea typeface="+mn-ea"/>
                  <a:cs typeface="+mn-cs"/>
                </a:rPr>
                <a:t>𝑬𝒇𝒆𝒄𝒕𝒊𝒗𝒊𝒅𝒂𝒅 𝒆𝒏 𝒍𝒂 𝒑𝒍𝒂𝒏𝒊𝒇𝒊𝒄𝒂𝒄𝒊o𝒏=</a:t>
              </a:r>
              <a:r>
                <a:rPr lang="es-CO" sz="1200" b="0" i="0" kern="1200">
                  <a:solidFill>
                    <a:schemeClr val="tx1"/>
                  </a:solidFill>
                  <a:latin typeface="Cambria Math" panose="02040503050406030204" pitchFamily="18" charset="0"/>
                  <a:ea typeface="+mn-ea"/>
                  <a:cs typeface="+mn-cs"/>
                </a:rPr>
                <a:t>(𝑈𝑛𝑖𝑑𝑎𝑑𝑑𝑒𝑠 𝑃𝑟𝑜𝑑𝑢𝑐𝑖𝑑𝑎𝑠)/(𝑈𝑛𝑖𝑑𝑎𝑑𝑒𝑠 𝑝𝑙𝑎𝑛𝑖𝑓𝑖𝑐𝑎𝑑𝑎𝑠 𝑑𝑒 𝑎𝑐𝑢𝑒𝑟𝑑𝑜 𝑎 𝑐𝑎𝑝𝑎𝑐𝑖𝑑𝑎𝑑 𝑡𝑒o𝑟𝑖𝑐𝑎 𝑝𝑟𝑜𝑝𝑢𝑒𝑠𝑡𝑎)∗</a:t>
              </a:r>
              <a:r>
                <a:rPr lang="es-CO" sz="1200" b="1" i="0" kern="1200">
                  <a:solidFill>
                    <a:schemeClr val="tx1"/>
                  </a:solidFill>
                  <a:latin typeface="Cambria Math" panose="02040503050406030204" pitchFamily="18" charset="0"/>
                  <a:ea typeface="+mn-ea"/>
                  <a:cs typeface="+mn-cs"/>
                </a:rPr>
                <a:t>100%</a:t>
              </a:r>
              <a:endParaRPr lang="es-CO" sz="1200" b="1" i="1" kern="1200">
                <a:solidFill>
                  <a:schemeClr val="tx1"/>
                </a:solidFill>
                <a:latin typeface="Cambria Math" panose="02040503050406030204" pitchFamily="18" charset="0"/>
                <a:ea typeface="+mn-ea"/>
                <a:cs typeface="+mn-cs"/>
              </a:endParaRPr>
            </a:p>
          </xdr:txBody>
        </xdr:sp>
      </mc:Fallback>
    </mc:AlternateContent>
    <xdr:clientData/>
  </xdr:twoCellAnchor>
  <xdr:twoCellAnchor>
    <xdr:from>
      <xdr:col>12</xdr:col>
      <xdr:colOff>210830</xdr:colOff>
      <xdr:row>13</xdr:row>
      <xdr:rowOff>1188428</xdr:rowOff>
    </xdr:from>
    <xdr:to>
      <xdr:col>13</xdr:col>
      <xdr:colOff>85964</xdr:colOff>
      <xdr:row>13</xdr:row>
      <xdr:rowOff>2291038</xdr:rowOff>
    </xdr:to>
    <mc:AlternateContent xmlns:mc="http://schemas.openxmlformats.org/markup-compatibility/2006" xmlns:a14="http://schemas.microsoft.com/office/drawing/2010/main">
      <mc:Choice Requires="a14">
        <xdr:sp macro="" textlink="">
          <xdr:nvSpPr>
            <xdr:cNvPr id="18" name="CuadroTexto 7">
              <a:extLst>
                <a:ext uri="{FF2B5EF4-FFF2-40B4-BE49-F238E27FC236}">
                  <a16:creationId xmlns:a16="http://schemas.microsoft.com/office/drawing/2014/main" xmlns="" id="{ADF507DB-E53E-FA4B-B638-2AFC8C44AECB}"/>
                </a:ext>
              </a:extLst>
            </xdr:cNvPr>
            <xdr:cNvSpPr txBox="1"/>
          </xdr:nvSpPr>
          <xdr:spPr>
            <a:xfrm>
              <a:off x="34169526" y="12970439"/>
              <a:ext cx="6811818" cy="1102610"/>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14:m>
                <m:oMathPara xmlns:m="http://schemas.openxmlformats.org/officeDocument/2006/math">
                  <m:oMathParaPr>
                    <m:jc m:val="left"/>
                  </m:oMathParaPr>
                  <m:oMath xmlns:m="http://schemas.openxmlformats.org/officeDocument/2006/math">
                    <m:r>
                      <a:rPr lang="es-CO" sz="1400" b="1" i="1" kern="1200">
                        <a:solidFill>
                          <a:schemeClr val="tx1"/>
                        </a:solidFill>
                        <a:latin typeface="Cambria Math" panose="02040503050406030204" pitchFamily="18" charset="0"/>
                        <a:ea typeface="+mn-ea"/>
                        <a:cs typeface="+mn-cs"/>
                      </a:rPr>
                      <m:t>𝑷𝒓𝒐𝒅𝒖𝒄𝒕𝒊𝒗𝒊𝒅𝒂𝒅</m:t>
                    </m:r>
                    <m:r>
                      <a:rPr lang="es-CO" sz="1400" b="1" i="1" kern="1200">
                        <a:solidFill>
                          <a:schemeClr val="tx1"/>
                        </a:solidFill>
                        <a:latin typeface="Cambria Math" panose="02040503050406030204" pitchFamily="18" charset="0"/>
                        <a:ea typeface="+mn-ea"/>
                        <a:cs typeface="+mn-cs"/>
                      </a:rPr>
                      <m:t> </m:t>
                    </m:r>
                    <m:r>
                      <a:rPr lang="es-CO" sz="1400" b="1" i="1" kern="1200">
                        <a:solidFill>
                          <a:schemeClr val="tx1"/>
                        </a:solidFill>
                        <a:latin typeface="Cambria Math" panose="02040503050406030204" pitchFamily="18" charset="0"/>
                        <a:ea typeface="+mn-ea"/>
                        <a:cs typeface="+mn-cs"/>
                      </a:rPr>
                      <m:t>𝒅𝒆</m:t>
                    </m:r>
                    <m:r>
                      <a:rPr lang="es-CO" sz="1400" b="1" i="1" kern="1200">
                        <a:solidFill>
                          <a:schemeClr val="tx1"/>
                        </a:solidFill>
                        <a:latin typeface="Cambria Math" panose="02040503050406030204" pitchFamily="18" charset="0"/>
                        <a:ea typeface="+mn-ea"/>
                        <a:cs typeface="+mn-cs"/>
                      </a:rPr>
                      <m:t> </m:t>
                    </m:r>
                    <m:r>
                      <a:rPr lang="es-CO" sz="1400" b="1" i="1" kern="1200">
                        <a:solidFill>
                          <a:schemeClr val="tx1"/>
                        </a:solidFill>
                        <a:latin typeface="Cambria Math" panose="02040503050406030204" pitchFamily="18" charset="0"/>
                        <a:ea typeface="+mn-ea"/>
                        <a:cs typeface="+mn-cs"/>
                      </a:rPr>
                      <m:t>𝒑𝒍𝒂𝒏𝒕𝒂</m:t>
                    </m:r>
                    <m:r>
                      <a:rPr lang="es-CO" sz="1400" b="1" i="1" kern="1200">
                        <a:solidFill>
                          <a:schemeClr val="tx1"/>
                        </a:solidFill>
                        <a:latin typeface="Cambria Math" panose="02040503050406030204" pitchFamily="18" charset="0"/>
                        <a:ea typeface="+mn-ea"/>
                        <a:cs typeface="+mn-cs"/>
                      </a:rPr>
                      <m:t>=</m:t>
                    </m:r>
                    <m:f>
                      <m:fPr>
                        <m:ctrlPr>
                          <a:rPr lang="es-CO" sz="1400" b="1" i="1" kern="1200">
                            <a:solidFill>
                              <a:schemeClr val="tx1"/>
                            </a:solidFill>
                            <a:latin typeface="Cambria Math" panose="02040503050406030204" pitchFamily="18" charset="0"/>
                            <a:ea typeface="+mn-ea"/>
                            <a:cs typeface="+mn-cs"/>
                          </a:rPr>
                        </m:ctrlPr>
                      </m:fPr>
                      <m:num>
                        <m:r>
                          <a:rPr lang="es-CO" sz="1400" b="1" i="1" kern="1200">
                            <a:solidFill>
                              <a:schemeClr val="tx1"/>
                            </a:solidFill>
                            <a:latin typeface="Cambria Math" panose="02040503050406030204" pitchFamily="18" charset="0"/>
                            <a:ea typeface="+mn-ea"/>
                            <a:cs typeface="+mn-cs"/>
                          </a:rPr>
                          <m:t>𝑇𝑖𝑒𝑚𝑝𝑜</m:t>
                        </m:r>
                        <m:r>
                          <a:rPr lang="es-CO" sz="1400" b="1" i="1" kern="1200">
                            <a:solidFill>
                              <a:schemeClr val="tx1"/>
                            </a:solidFill>
                            <a:latin typeface="Cambria Math" panose="02040503050406030204" pitchFamily="18" charset="0"/>
                            <a:ea typeface="+mn-ea"/>
                            <a:cs typeface="+mn-cs"/>
                          </a:rPr>
                          <m:t> </m:t>
                        </m:r>
                        <m:r>
                          <a:rPr lang="es-CO" sz="1400" b="1" i="1" kern="1200">
                            <a:solidFill>
                              <a:schemeClr val="tx1"/>
                            </a:solidFill>
                            <a:latin typeface="Cambria Math" panose="02040503050406030204" pitchFamily="18" charset="0"/>
                            <a:ea typeface="+mn-ea"/>
                            <a:cs typeface="+mn-cs"/>
                          </a:rPr>
                          <m:t>𝑅𝑒𝑎𝑙</m:t>
                        </m:r>
                        <m:r>
                          <a:rPr lang="es-CO" sz="1400" b="1" i="1" kern="1200">
                            <a:solidFill>
                              <a:schemeClr val="tx1"/>
                            </a:solidFill>
                            <a:latin typeface="Cambria Math" panose="02040503050406030204" pitchFamily="18" charset="0"/>
                            <a:ea typeface="+mn-ea"/>
                            <a:cs typeface="+mn-cs"/>
                          </a:rPr>
                          <m:t> </m:t>
                        </m:r>
                      </m:num>
                      <m:den>
                        <m:r>
                          <a:rPr lang="es-CO" sz="1400" b="1" i="1" kern="1200">
                            <a:solidFill>
                              <a:schemeClr val="tx1"/>
                            </a:solidFill>
                            <a:latin typeface="Cambria Math" panose="02040503050406030204" pitchFamily="18" charset="0"/>
                            <a:ea typeface="+mn-ea"/>
                            <a:cs typeface="+mn-cs"/>
                          </a:rPr>
                          <m:t>𝑇𝑖𝑒𝑚𝑝𝑜</m:t>
                        </m:r>
                        <m:r>
                          <a:rPr lang="es-CO" sz="1400" b="1" i="1" kern="1200">
                            <a:solidFill>
                              <a:schemeClr val="tx1"/>
                            </a:solidFill>
                            <a:latin typeface="Cambria Math" panose="02040503050406030204" pitchFamily="18" charset="0"/>
                            <a:ea typeface="+mn-ea"/>
                            <a:cs typeface="+mn-cs"/>
                          </a:rPr>
                          <m:t> </m:t>
                        </m:r>
                        <m:r>
                          <a:rPr lang="es-CO" sz="1400" b="1" i="1" kern="1200">
                            <a:solidFill>
                              <a:schemeClr val="tx1"/>
                            </a:solidFill>
                            <a:latin typeface="Cambria Math" panose="02040503050406030204" pitchFamily="18" charset="0"/>
                            <a:ea typeface="+mn-ea"/>
                            <a:cs typeface="+mn-cs"/>
                          </a:rPr>
                          <m:t>𝐷𝑖𝑠𝑝𝑜𝑛𝑖𝑏𝑙𝑒</m:t>
                        </m:r>
                      </m:den>
                    </m:f>
                    <m:r>
                      <a:rPr lang="es-CO" sz="1400" b="1" i="1" kern="1200">
                        <a:solidFill>
                          <a:schemeClr val="tx1"/>
                        </a:solidFill>
                        <a:latin typeface="Cambria Math" panose="02040503050406030204" pitchFamily="18" charset="0"/>
                        <a:ea typeface="+mn-ea"/>
                        <a:cs typeface="+mn-cs"/>
                      </a:rPr>
                      <m:t>∗</m:t>
                    </m:r>
                    <m:f>
                      <m:fPr>
                        <m:ctrlPr>
                          <a:rPr lang="es-CO" sz="1400" b="0" i="1" kern="1200">
                            <a:solidFill>
                              <a:schemeClr val="tx1"/>
                            </a:solidFill>
                            <a:latin typeface="Cambria Math" panose="02040503050406030204" pitchFamily="18" charset="0"/>
                            <a:ea typeface="+mn-ea"/>
                            <a:cs typeface="+mn-cs"/>
                          </a:rPr>
                        </m:ctrlPr>
                      </m:fPr>
                      <m:num>
                        <m:r>
                          <a:rPr lang="es-CO" sz="1400" b="0" i="1" kern="1200">
                            <a:solidFill>
                              <a:schemeClr val="tx1"/>
                            </a:solidFill>
                            <a:latin typeface="Cambria Math" panose="02040503050406030204" pitchFamily="18" charset="0"/>
                            <a:ea typeface="+mn-ea"/>
                            <a:cs typeface="+mn-cs"/>
                          </a:rPr>
                          <m:t>𝑈𝑛𝑖𝑑𝑎𝑑𝑒𝑠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𝑃𝑟𝑜𝑑𝑢𝑐𝑖𝑑𝑎𝑠</m:t>
                        </m:r>
                      </m:num>
                      <m:den>
                        <m:r>
                          <a:rPr lang="es-CO" sz="1400" b="0" i="1" kern="1200">
                            <a:solidFill>
                              <a:schemeClr val="tx1"/>
                            </a:solidFill>
                            <a:latin typeface="Cambria Math" panose="02040503050406030204" pitchFamily="18" charset="0"/>
                            <a:ea typeface="+mn-ea"/>
                            <a:cs typeface="+mn-cs"/>
                          </a:rPr>
                          <m:t>𝑈𝑛𝑖𝑑𝑎𝑑𝑒𝑠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𝑃𝑙𝑎𝑛𝑖𝑓𝑖𝑐𝑎𝑑𝑎𝑠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𝑑𝑒</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𝑎𝑐𝑢𝑒𝑟𝑑𝑜</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𝑎</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𝑐𝑎𝑝𝑎𝑐𝑖𝑑𝑎𝑑</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𝑡</m:t>
                        </m:r>
                        <m:r>
                          <a:rPr lang="es-CO" sz="1400" b="0" i="1" kern="1200">
                            <a:solidFill>
                              <a:schemeClr val="tx1"/>
                            </a:solidFill>
                            <a:latin typeface="Cambria Math" panose="02040503050406030204" pitchFamily="18" charset="0"/>
                            <a:ea typeface="+mn-ea"/>
                            <a:cs typeface="+mn-cs"/>
                          </a:rPr>
                          <m:t>é</m:t>
                        </m:r>
                        <m:r>
                          <a:rPr lang="es-CO" sz="1400" b="0" i="1" kern="1200">
                            <a:solidFill>
                              <a:schemeClr val="tx1"/>
                            </a:solidFill>
                            <a:latin typeface="Cambria Math" panose="02040503050406030204" pitchFamily="18" charset="0"/>
                            <a:ea typeface="+mn-ea"/>
                            <a:cs typeface="+mn-cs"/>
                          </a:rPr>
                          <m:t>𝑜𝑟𝑖𝑐𝑎</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𝑝𝑟𝑜𝑝𝑢𝑒𝑠𝑡𝑎</m:t>
                        </m:r>
                      </m:den>
                    </m:f>
                    <m:r>
                      <a:rPr lang="es-CO" sz="1400" b="1" i="1" kern="1200">
                        <a:solidFill>
                          <a:schemeClr val="tx1"/>
                        </a:solidFill>
                        <a:latin typeface="Cambria Math" panose="02040503050406030204" pitchFamily="18" charset="0"/>
                        <a:ea typeface="+mn-ea"/>
                        <a:cs typeface="+mn-cs"/>
                      </a:rPr>
                      <m:t>∗100%</m:t>
                    </m:r>
                  </m:oMath>
                </m:oMathPara>
              </a14:m>
              <a:endParaRPr lang="es-CO" sz="1400" b="1" i="1" kern="1200">
                <a:solidFill>
                  <a:schemeClr val="tx1"/>
                </a:solidFill>
                <a:latin typeface="Cambria Math" panose="02040503050406030204" pitchFamily="18" charset="0"/>
                <a:ea typeface="+mn-ea"/>
                <a:cs typeface="+mn-cs"/>
              </a:endParaRPr>
            </a:p>
          </xdr:txBody>
        </xdr:sp>
      </mc:Choice>
      <mc:Fallback xmlns="">
        <xdr:sp macro="" textlink="">
          <xdr:nvSpPr>
            <xdr:cNvPr id="18" name="CuadroTexto 7">
              <a:extLst>
                <a:ext uri="{FF2B5EF4-FFF2-40B4-BE49-F238E27FC236}">
                  <a16:creationId xmlns="" xmlns:a16="http://schemas.microsoft.com/office/drawing/2014/main" xmlns:a14="http://schemas.microsoft.com/office/drawing/2010/main" id="{ADF507DB-E53E-FA4B-B638-2AFC8C44AECB}"/>
                </a:ext>
              </a:extLst>
            </xdr:cNvPr>
            <xdr:cNvSpPr txBox="1"/>
          </xdr:nvSpPr>
          <xdr:spPr>
            <a:xfrm>
              <a:off x="34169526" y="12970439"/>
              <a:ext cx="6811818" cy="1102610"/>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1400" b="1" i="0" kern="1200">
                  <a:solidFill>
                    <a:schemeClr val="tx1"/>
                  </a:solidFill>
                  <a:latin typeface="Cambria Math" panose="02040503050406030204" pitchFamily="18" charset="0"/>
                  <a:ea typeface="+mn-ea"/>
                  <a:cs typeface="+mn-cs"/>
                </a:rPr>
                <a:t>𝑷𝒓𝒐𝒅𝒖𝒄𝒕𝒊𝒗𝒊𝒅𝒂𝒅 𝒅𝒆 𝒑𝒍𝒂𝒏𝒕𝒂=(𝑇𝑖𝑒𝑚𝑝𝑜 𝑅𝑒𝑎𝑙 )/(𝑇𝑖𝑒𝑚𝑝𝑜 𝐷𝑖𝑠𝑝𝑜𝑛𝑖𝑏𝑙𝑒)∗</a:t>
              </a:r>
              <a:r>
                <a:rPr lang="es-CO" sz="1400" b="0" i="0" kern="1200">
                  <a:solidFill>
                    <a:schemeClr val="tx1"/>
                  </a:solidFill>
                  <a:latin typeface="Cambria Math" panose="02040503050406030204" pitchFamily="18" charset="0"/>
                  <a:ea typeface="+mn-ea"/>
                  <a:cs typeface="+mn-cs"/>
                </a:rPr>
                <a:t>(𝑈𝑛𝑖𝑑𝑎𝑑𝑒𝑠 𝑃𝑟𝑜𝑑𝑢𝑐𝑖𝑑𝑎𝑠)/(𝑈𝑛𝑖𝑑𝑎𝑑𝑒𝑠 𝑃𝑙𝑎𝑛𝑖𝑓𝑖𝑐𝑎𝑑𝑎𝑠 𝑑𝑒 𝑎𝑐𝑢𝑒𝑟𝑑𝑜 𝑎 𝑐𝑎𝑝𝑎𝑐𝑖𝑑𝑎𝑑 𝑡é𝑜𝑟𝑖𝑐𝑎 𝑝𝑟𝑜𝑝𝑢𝑒𝑠𝑡𝑎)</a:t>
              </a:r>
              <a:r>
                <a:rPr lang="es-CO" sz="1400" b="1" i="0" kern="1200">
                  <a:solidFill>
                    <a:schemeClr val="tx1"/>
                  </a:solidFill>
                  <a:latin typeface="Cambria Math" panose="02040503050406030204" pitchFamily="18" charset="0"/>
                  <a:ea typeface="+mn-ea"/>
                  <a:cs typeface="+mn-cs"/>
                </a:rPr>
                <a:t>∗100%</a:t>
              </a:r>
              <a:endParaRPr lang="es-CO" sz="1400" b="1" i="1" kern="1200">
                <a:solidFill>
                  <a:schemeClr val="tx1"/>
                </a:solidFill>
                <a:latin typeface="Cambria Math" panose="02040503050406030204" pitchFamily="18" charset="0"/>
                <a:ea typeface="+mn-ea"/>
                <a:cs typeface="+mn-cs"/>
              </a:endParaRPr>
            </a:p>
          </xdr:txBody>
        </xdr:sp>
      </mc:Fallback>
    </mc:AlternateContent>
    <xdr:clientData/>
  </xdr:twoCellAnchor>
  <xdr:twoCellAnchor>
    <xdr:from>
      <xdr:col>12</xdr:col>
      <xdr:colOff>103533</xdr:colOff>
      <xdr:row>15</xdr:row>
      <xdr:rowOff>1532283</xdr:rowOff>
    </xdr:from>
    <xdr:to>
      <xdr:col>13</xdr:col>
      <xdr:colOff>937131</xdr:colOff>
      <xdr:row>15</xdr:row>
      <xdr:rowOff>1980419</xdr:rowOff>
    </xdr:to>
    <mc:AlternateContent xmlns:mc="http://schemas.openxmlformats.org/markup-compatibility/2006" xmlns:a14="http://schemas.microsoft.com/office/drawing/2010/main">
      <mc:Choice Requires="a14">
        <xdr:sp macro="" textlink="">
          <xdr:nvSpPr>
            <xdr:cNvPr id="20" name="CuadroTexto 14">
              <a:extLst>
                <a:ext uri="{FF2B5EF4-FFF2-40B4-BE49-F238E27FC236}">
                  <a16:creationId xmlns="" xmlns:a16="http://schemas.microsoft.com/office/drawing/2014/main" id="{199B4839-4E76-A841-B067-958755BB6D6D}"/>
                </a:ext>
              </a:extLst>
            </xdr:cNvPr>
            <xdr:cNvSpPr txBox="1"/>
          </xdr:nvSpPr>
          <xdr:spPr>
            <a:xfrm>
              <a:off x="34062229" y="17931848"/>
              <a:ext cx="7770282" cy="448136"/>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left"/>
                  </m:oMathParaPr>
                  <m:oMath xmlns:m="http://schemas.openxmlformats.org/officeDocument/2006/math">
                    <m:r>
                      <a:rPr lang="es-CO" sz="1400" b="1" i="1">
                        <a:latin typeface="Cambria Math" panose="02040503050406030204" pitchFamily="18" charset="0"/>
                      </a:rPr>
                      <m:t>𝑫𝒊𝒔𝒑𝒐𝒏𝒊𝒃𝒊𝒍𝒊𝒅𝒂𝒅</m:t>
                    </m:r>
                    <m:r>
                      <a:rPr lang="es-CO" sz="1400" b="1" i="1">
                        <a:latin typeface="Cambria Math" panose="02040503050406030204" pitchFamily="18" charset="0"/>
                      </a:rPr>
                      <m:t> </m:t>
                    </m:r>
                    <m:r>
                      <a:rPr lang="es-CO" sz="1400" b="1" i="1">
                        <a:latin typeface="Cambria Math" panose="02040503050406030204" pitchFamily="18" charset="0"/>
                      </a:rPr>
                      <m:t>𝒅𝒆</m:t>
                    </m:r>
                    <m:r>
                      <a:rPr lang="es-CO" sz="1400" b="1" i="1">
                        <a:latin typeface="Cambria Math" panose="02040503050406030204" pitchFamily="18" charset="0"/>
                      </a:rPr>
                      <m:t> </m:t>
                    </m:r>
                    <m:r>
                      <a:rPr lang="es-CO" sz="1400" b="1" i="1">
                        <a:latin typeface="Cambria Math" panose="02040503050406030204" pitchFamily="18" charset="0"/>
                      </a:rPr>
                      <m:t>𝑷𝒍𝒂𝒏𝒕𝒂</m:t>
                    </m:r>
                    <m:r>
                      <a:rPr lang="es-CO" sz="1400" i="1">
                        <a:latin typeface="Cambria Math" panose="02040503050406030204" pitchFamily="18" charset="0"/>
                      </a:rPr>
                      <m:t>=</m:t>
                    </m:r>
                    <m:f>
                      <m:fPr>
                        <m:ctrlPr>
                          <a:rPr lang="es-CO" sz="1400" i="1">
                            <a:latin typeface="Cambria Math" panose="02040503050406030204" pitchFamily="18" charset="0"/>
                          </a:rPr>
                        </m:ctrlPr>
                      </m:fPr>
                      <m:num>
                        <m:r>
                          <a:rPr lang="es-CO" sz="1400" b="0" i="1">
                            <a:latin typeface="Cambria Math" panose="02040503050406030204" pitchFamily="18" charset="0"/>
                          </a:rPr>
                          <m:t>𝑇𝑖𝑒𝑚𝑝𝑜</m:t>
                        </m:r>
                        <m:r>
                          <a:rPr lang="es-CO" sz="1400" b="0" i="1">
                            <a:latin typeface="Cambria Math" panose="02040503050406030204" pitchFamily="18" charset="0"/>
                          </a:rPr>
                          <m:t> </m:t>
                        </m:r>
                        <m:r>
                          <a:rPr lang="es-CO" sz="1400" b="0" i="1">
                            <a:latin typeface="Cambria Math" panose="02040503050406030204" pitchFamily="18" charset="0"/>
                          </a:rPr>
                          <m:t>𝑑𝑒</m:t>
                        </m:r>
                        <m:r>
                          <a:rPr lang="es-CO" sz="1400" b="0" i="1">
                            <a:latin typeface="Cambria Math" panose="02040503050406030204" pitchFamily="18" charset="0"/>
                          </a:rPr>
                          <m:t> </m:t>
                        </m:r>
                        <m:r>
                          <a:rPr lang="es-CO" sz="1400" b="0" i="1">
                            <a:latin typeface="Cambria Math" panose="02040503050406030204" pitchFamily="18" charset="0"/>
                          </a:rPr>
                          <m:t>𝑊</m:t>
                        </m:r>
                        <m:r>
                          <a:rPr lang="es-CO" sz="1400" b="0" i="1">
                            <a:latin typeface="Cambria Math" panose="02040503050406030204" pitchFamily="18" charset="0"/>
                          </a:rPr>
                          <m:t> </m:t>
                        </m:r>
                        <m:r>
                          <a:rPr lang="es-CO" sz="1400" b="0" i="1">
                            <a:latin typeface="Cambria Math" panose="02040503050406030204" pitchFamily="18" charset="0"/>
                          </a:rPr>
                          <m:t>𝑝𝑟𝑜𝑔𝑟𝑎𝑚𝑎𝑑𝑜</m:t>
                        </m:r>
                        <m:r>
                          <a:rPr lang="es-CO" sz="1400" b="0" i="1">
                            <a:latin typeface="Cambria Math" panose="02040503050406030204" pitchFamily="18" charset="0"/>
                          </a:rPr>
                          <m:t> −</m:t>
                        </m:r>
                        <m:r>
                          <a:rPr lang="es-CO" sz="1400" b="0" i="1">
                            <a:latin typeface="Cambria Math" panose="02040503050406030204" pitchFamily="18" charset="0"/>
                          </a:rPr>
                          <m:t>𝑃𝑎𝑟𝑜𝑠</m:t>
                        </m:r>
                        <m:r>
                          <a:rPr lang="es-CO" sz="1400" b="0" i="1">
                            <a:latin typeface="Cambria Math" panose="02040503050406030204" pitchFamily="18" charset="0"/>
                          </a:rPr>
                          <m:t> (</m:t>
                        </m:r>
                        <m:r>
                          <a:rPr lang="es-CO" sz="1400" b="0" i="1">
                            <a:latin typeface="Cambria Math" panose="02040503050406030204" pitchFamily="18" charset="0"/>
                          </a:rPr>
                          <m:t>𝑝𝑟𝑜𝑔𝑟𝑎𝑚𝑎𝑑𝑜𝑠</m:t>
                        </m:r>
                        <m:r>
                          <a:rPr lang="es-CO" sz="1400" b="0" i="1">
                            <a:latin typeface="Cambria Math" panose="02040503050406030204" pitchFamily="18" charset="0"/>
                          </a:rPr>
                          <m:t> </m:t>
                        </m:r>
                        <m:r>
                          <a:rPr lang="es-CO" sz="1400" b="0" i="1">
                            <a:latin typeface="Cambria Math" panose="02040503050406030204" pitchFamily="18" charset="0"/>
                          </a:rPr>
                          <m:t>𝑦</m:t>
                        </m:r>
                        <m:r>
                          <a:rPr lang="es-CO" sz="1400" b="0" i="1">
                            <a:latin typeface="Cambria Math" panose="02040503050406030204" pitchFamily="18" charset="0"/>
                          </a:rPr>
                          <m:t> </m:t>
                        </m:r>
                        <m:r>
                          <a:rPr lang="es-CO" sz="1400" b="0" i="1">
                            <a:latin typeface="Cambria Math" panose="02040503050406030204" pitchFamily="18" charset="0"/>
                          </a:rPr>
                          <m:t>𝑛𝑜</m:t>
                        </m:r>
                        <m:r>
                          <a:rPr lang="es-CO" sz="1400" b="0" i="1">
                            <a:latin typeface="Cambria Math" panose="02040503050406030204" pitchFamily="18" charset="0"/>
                          </a:rPr>
                          <m:t> </m:t>
                        </m:r>
                        <m:r>
                          <a:rPr lang="es-CO" sz="1400" b="0" i="1">
                            <a:latin typeface="Cambria Math" panose="02040503050406030204" pitchFamily="18" charset="0"/>
                          </a:rPr>
                          <m:t>𝑝𝑟𝑜𝑔𝑟𝑎𝑚𝑎𝑑𝑜𝑠</m:t>
                        </m:r>
                        <m:r>
                          <a:rPr lang="es-CO" sz="1400" b="0" i="1">
                            <a:latin typeface="Cambria Math" panose="02040503050406030204" pitchFamily="18" charset="0"/>
                          </a:rPr>
                          <m:t>)</m:t>
                        </m:r>
                      </m:num>
                      <m:den>
                        <m:r>
                          <a:rPr lang="es-CO" sz="1400" b="0" i="1">
                            <a:latin typeface="Cambria Math" panose="02040503050406030204" pitchFamily="18" charset="0"/>
                          </a:rPr>
                          <m:t>𝑇𝑖𝑒𝑚𝑝𝑜</m:t>
                        </m:r>
                        <m:r>
                          <a:rPr lang="es-CO" sz="1400" b="0" i="1">
                            <a:latin typeface="Cambria Math" panose="02040503050406030204" pitchFamily="18" charset="0"/>
                          </a:rPr>
                          <m:t> </m:t>
                        </m:r>
                        <m:r>
                          <a:rPr lang="es-CO" sz="1400" b="0" i="1">
                            <a:latin typeface="Cambria Math" panose="02040503050406030204" pitchFamily="18" charset="0"/>
                          </a:rPr>
                          <m:t>𝑑𝑒</m:t>
                        </m:r>
                        <m:r>
                          <a:rPr lang="es-CO" sz="1400" b="0" i="1">
                            <a:latin typeface="Cambria Math" panose="02040503050406030204" pitchFamily="18" charset="0"/>
                          </a:rPr>
                          <m:t> </m:t>
                        </m:r>
                        <m:r>
                          <a:rPr lang="es-CO" sz="1400" b="0" i="1">
                            <a:latin typeface="Cambria Math" panose="02040503050406030204" pitchFamily="18" charset="0"/>
                          </a:rPr>
                          <m:t>𝑊</m:t>
                        </m:r>
                        <m:r>
                          <a:rPr lang="es-CO" sz="1400" b="0" i="1">
                            <a:latin typeface="Cambria Math" panose="02040503050406030204" pitchFamily="18" charset="0"/>
                          </a:rPr>
                          <m:t> </m:t>
                        </m:r>
                        <m:r>
                          <a:rPr lang="es-CO" sz="1400" b="0" i="1">
                            <a:latin typeface="Cambria Math" panose="02040503050406030204" pitchFamily="18" charset="0"/>
                          </a:rPr>
                          <m:t>𝑝𝑟𝑜𝑔𝑟𝑎𝑚𝑎𝑑𝑜</m:t>
                        </m:r>
                      </m:den>
                    </m:f>
                    <m:r>
                      <a:rPr lang="es-CO" sz="1400" b="0" i="1">
                        <a:latin typeface="Cambria Math" panose="02040503050406030204" pitchFamily="18" charset="0"/>
                      </a:rPr>
                      <m:t>∗100%</m:t>
                    </m:r>
                  </m:oMath>
                </m:oMathPara>
              </a14:m>
              <a:endParaRPr lang="es-CO" sz="1400"/>
            </a:p>
          </xdr:txBody>
        </xdr:sp>
      </mc:Choice>
      <mc:Fallback xmlns="">
        <xdr:sp macro="" textlink="">
          <xdr:nvSpPr>
            <xdr:cNvPr id="20" name="CuadroTexto 14">
              <a:extLst>
                <a:ext uri="{FF2B5EF4-FFF2-40B4-BE49-F238E27FC236}">
                  <a16:creationId xmlns:a16="http://schemas.microsoft.com/office/drawing/2014/main" xmlns="" xmlns:a14="http://schemas.microsoft.com/office/drawing/2010/main" id="{199B4839-4E76-A841-B067-958755BB6D6D}"/>
                </a:ext>
              </a:extLst>
            </xdr:cNvPr>
            <xdr:cNvSpPr txBox="1"/>
          </xdr:nvSpPr>
          <xdr:spPr>
            <a:xfrm>
              <a:off x="34062229" y="17931848"/>
              <a:ext cx="7770282" cy="448136"/>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s-CO" sz="1400" b="1" i="0">
                  <a:latin typeface="Cambria Math" panose="02040503050406030204" pitchFamily="18" charset="0"/>
                </a:rPr>
                <a:t>𝑫𝒊𝒔𝒑𝒐𝒏𝒊𝒃𝒊𝒍𝒊𝒅𝒂𝒅 𝒅𝒆 𝑷𝒍𝒂𝒏𝒕𝒂</a:t>
              </a:r>
              <a:r>
                <a:rPr lang="es-CO" sz="1400" i="0">
                  <a:latin typeface="Cambria Math" panose="02040503050406030204" pitchFamily="18" charset="0"/>
                </a:rPr>
                <a:t>=(</a:t>
              </a:r>
              <a:r>
                <a:rPr lang="es-CO" sz="1400" b="0" i="0">
                  <a:latin typeface="Cambria Math" panose="02040503050406030204" pitchFamily="18" charset="0"/>
                </a:rPr>
                <a:t>𝑇𝑖𝑒𝑚𝑝𝑜 𝑑𝑒 𝑊 𝑝𝑟𝑜𝑔𝑟𝑎𝑚𝑎𝑑𝑜 −𝑃𝑎𝑟𝑜𝑠 (𝑝𝑟𝑜𝑔𝑟𝑎𝑚𝑎𝑑𝑜𝑠 𝑦 𝑛𝑜 𝑝𝑟𝑜𝑔𝑟𝑎𝑚𝑎𝑑𝑜𝑠))/(𝑇𝑖𝑒𝑚𝑝𝑜 𝑑𝑒 𝑊 𝑝𝑟𝑜𝑔𝑟𝑎𝑚𝑎𝑑𝑜)∗100%</a:t>
              </a:r>
              <a:endParaRPr lang="es-CO" sz="1400"/>
            </a:p>
          </xdr:txBody>
        </xdr:sp>
      </mc:Fallback>
    </mc:AlternateContent>
    <xdr:clientData/>
  </xdr:twoCellAnchor>
  <xdr:twoCellAnchor>
    <xdr:from>
      <xdr:col>12</xdr:col>
      <xdr:colOff>207065</xdr:colOff>
      <xdr:row>16</xdr:row>
      <xdr:rowOff>1387336</xdr:rowOff>
    </xdr:from>
    <xdr:to>
      <xdr:col>13</xdr:col>
      <xdr:colOff>401610</xdr:colOff>
      <xdr:row>16</xdr:row>
      <xdr:rowOff>1832651</xdr:rowOff>
    </xdr:to>
    <mc:AlternateContent xmlns:mc="http://schemas.openxmlformats.org/markup-compatibility/2006" xmlns:a14="http://schemas.microsoft.com/office/drawing/2010/main">
      <mc:Choice Requires="a14">
        <xdr:sp macro="" textlink="">
          <xdr:nvSpPr>
            <xdr:cNvPr id="21" name="CuadroTexto 8">
              <a:extLst>
                <a:ext uri="{FF2B5EF4-FFF2-40B4-BE49-F238E27FC236}">
                  <a16:creationId xmlns="" xmlns:a16="http://schemas.microsoft.com/office/drawing/2014/main" id="{B06E0FA6-EC5A-CE4A-9FEB-46AECCB176E1}"/>
                </a:ext>
              </a:extLst>
            </xdr:cNvPr>
            <xdr:cNvSpPr txBox="1"/>
          </xdr:nvSpPr>
          <xdr:spPr>
            <a:xfrm>
              <a:off x="34165761" y="20354510"/>
              <a:ext cx="7131229" cy="445315"/>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left"/>
                  </m:oMathParaPr>
                  <m:oMath xmlns:m="http://schemas.openxmlformats.org/officeDocument/2006/math">
                    <m:r>
                      <a:rPr lang="es-CO" sz="1400" b="1" i="1" kern="1200">
                        <a:solidFill>
                          <a:schemeClr val="tx1"/>
                        </a:solidFill>
                        <a:effectLst/>
                        <a:latin typeface="Cambria Math" panose="02040503050406030204" pitchFamily="18" charset="0"/>
                        <a:ea typeface="+mn-ea"/>
                        <a:cs typeface="+mn-cs"/>
                      </a:rPr>
                      <m:t>𝑼𝒔𝒐</m:t>
                    </m:r>
                    <m:r>
                      <a:rPr lang="es-CO" sz="1400" b="1" i="1" kern="1200">
                        <a:solidFill>
                          <a:schemeClr val="tx1"/>
                        </a:solidFill>
                        <a:effectLst/>
                        <a:latin typeface="Cambria Math" panose="02040503050406030204" pitchFamily="18" charset="0"/>
                        <a:ea typeface="+mn-ea"/>
                        <a:cs typeface="+mn-cs"/>
                      </a:rPr>
                      <m:t> </m:t>
                    </m:r>
                    <m:r>
                      <a:rPr lang="es-CO" sz="1400" b="1" i="1" kern="1200">
                        <a:solidFill>
                          <a:schemeClr val="tx1"/>
                        </a:solidFill>
                        <a:effectLst/>
                        <a:latin typeface="Cambria Math" panose="02040503050406030204" pitchFamily="18" charset="0"/>
                        <a:ea typeface="+mn-ea"/>
                        <a:cs typeface="+mn-cs"/>
                      </a:rPr>
                      <m:t>𝒅𝒆</m:t>
                    </m:r>
                    <m:r>
                      <a:rPr lang="es-CO" sz="1400" b="1" i="1" kern="1200">
                        <a:solidFill>
                          <a:schemeClr val="tx1"/>
                        </a:solidFill>
                        <a:effectLst/>
                        <a:latin typeface="Cambria Math" panose="02040503050406030204" pitchFamily="18" charset="0"/>
                        <a:ea typeface="+mn-ea"/>
                        <a:cs typeface="+mn-cs"/>
                      </a:rPr>
                      <m:t> </m:t>
                    </m:r>
                    <m:r>
                      <a:rPr lang="es-CO" sz="1400" b="1" i="1" kern="1200">
                        <a:solidFill>
                          <a:schemeClr val="tx1"/>
                        </a:solidFill>
                        <a:effectLst/>
                        <a:latin typeface="Cambria Math" panose="02040503050406030204" pitchFamily="18" charset="0"/>
                        <a:ea typeface="+mn-ea"/>
                        <a:cs typeface="+mn-cs"/>
                      </a:rPr>
                      <m:t>𝒍𝒂</m:t>
                    </m:r>
                    <m:r>
                      <a:rPr lang="es-CO" sz="1400" b="1" i="1" kern="1200">
                        <a:solidFill>
                          <a:schemeClr val="tx1"/>
                        </a:solidFill>
                        <a:effectLst/>
                        <a:latin typeface="Cambria Math" panose="02040503050406030204" pitchFamily="18" charset="0"/>
                        <a:ea typeface="+mn-ea"/>
                        <a:cs typeface="+mn-cs"/>
                      </a:rPr>
                      <m:t>  </m:t>
                    </m:r>
                    <m:r>
                      <a:rPr lang="es-CO" sz="1400" b="1" i="1">
                        <a:latin typeface="Cambria Math" panose="02040503050406030204" pitchFamily="18" charset="0"/>
                      </a:rPr>
                      <m:t>𝑪𝒂𝒑𝒂𝒄𝒊𝒅𝒂𝒅</m:t>
                    </m:r>
                    <m:r>
                      <a:rPr lang="es-CO" sz="1400" b="1" i="1">
                        <a:latin typeface="Cambria Math" panose="02040503050406030204" pitchFamily="18" charset="0"/>
                      </a:rPr>
                      <m:t> </m:t>
                    </m:r>
                    <m:r>
                      <a:rPr lang="es-CO" sz="1400" b="1" i="1">
                        <a:latin typeface="Cambria Math" panose="02040503050406030204" pitchFamily="18" charset="0"/>
                      </a:rPr>
                      <m:t>𝒊𝒏𝒔𝒕𝒂𝒍𝒂𝒅𝒂</m:t>
                    </m:r>
                    <m:r>
                      <a:rPr lang="es-CO" sz="1400" b="1" i="1">
                        <a:latin typeface="Cambria Math" panose="02040503050406030204" pitchFamily="18" charset="0"/>
                      </a:rPr>
                      <m:t> </m:t>
                    </m:r>
                    <m:r>
                      <a:rPr lang="es-CO" sz="1400" i="1">
                        <a:latin typeface="Cambria Math" panose="02040503050406030204" pitchFamily="18" charset="0"/>
                      </a:rPr>
                      <m:t>=</m:t>
                    </m:r>
                    <m:f>
                      <m:fPr>
                        <m:ctrlPr>
                          <a:rPr lang="es-CO" sz="1400" i="1">
                            <a:latin typeface="Cambria Math" panose="02040503050406030204" pitchFamily="18" charset="0"/>
                          </a:rPr>
                        </m:ctrlPr>
                      </m:fPr>
                      <m:num>
                        <m:r>
                          <a:rPr lang="es-CO" sz="1400" b="0" i="1">
                            <a:latin typeface="Cambria Math" panose="02040503050406030204" pitchFamily="18" charset="0"/>
                          </a:rPr>
                          <m:t>𝑉𝑜𝑙𝑢𝑚𝑒𝑛</m:t>
                        </m:r>
                        <m:r>
                          <a:rPr lang="es-CO" sz="1400" b="0" i="1">
                            <a:latin typeface="Cambria Math" panose="02040503050406030204" pitchFamily="18" charset="0"/>
                          </a:rPr>
                          <m:t> </m:t>
                        </m:r>
                        <m:r>
                          <a:rPr lang="es-CO" sz="1400" b="0" i="1">
                            <a:latin typeface="Cambria Math" panose="02040503050406030204" pitchFamily="18" charset="0"/>
                          </a:rPr>
                          <m:t>𝑑𝑒</m:t>
                        </m:r>
                        <m:r>
                          <a:rPr lang="es-CO" sz="1400" b="0" i="1">
                            <a:latin typeface="Cambria Math" panose="02040503050406030204" pitchFamily="18" charset="0"/>
                          </a:rPr>
                          <m:t> </m:t>
                        </m:r>
                        <m:r>
                          <a:rPr lang="es-CO" sz="1400" b="0" i="1">
                            <a:latin typeface="Cambria Math" panose="02040503050406030204" pitchFamily="18" charset="0"/>
                          </a:rPr>
                          <m:t>𝑝𝑟𝑜𝑑𝑢𝑐𝑐𝑖</m:t>
                        </m:r>
                        <m:r>
                          <m:rPr>
                            <m:sty m:val="p"/>
                          </m:rPr>
                          <a:rPr lang="es-CO" sz="1400" b="0" i="1">
                            <a:latin typeface="Cambria Math" panose="02040503050406030204" pitchFamily="18" charset="0"/>
                          </a:rPr>
                          <m:t>o</m:t>
                        </m:r>
                        <m:r>
                          <a:rPr lang="es-CO" sz="1400" b="0" i="1">
                            <a:latin typeface="Cambria Math" panose="02040503050406030204" pitchFamily="18" charset="0"/>
                          </a:rPr>
                          <m:t>𝑛</m:t>
                        </m:r>
                      </m:num>
                      <m:den>
                        <m:r>
                          <a:rPr lang="es-CO" sz="1400" b="0" i="1">
                            <a:latin typeface="Cambria Math" panose="02040503050406030204" pitchFamily="18" charset="0"/>
                          </a:rPr>
                          <m:t>𝐶𝑎𝑝𝑎𝑐𝑖𝑑𝑎𝑑</m:t>
                        </m:r>
                        <m:r>
                          <a:rPr lang="es-CO" sz="1400" b="0" i="1">
                            <a:latin typeface="Cambria Math" panose="02040503050406030204" pitchFamily="18" charset="0"/>
                          </a:rPr>
                          <m:t> </m:t>
                        </m:r>
                        <m:r>
                          <a:rPr lang="es-CO" sz="1400" b="0" i="1">
                            <a:latin typeface="Cambria Math" panose="02040503050406030204" pitchFamily="18" charset="0"/>
                          </a:rPr>
                          <m:t>𝑖𝑛𝑠𝑡𝑎𝑙𝑎𝑑𝑎</m:t>
                        </m:r>
                      </m:den>
                    </m:f>
                    <m:r>
                      <a:rPr lang="es-CO" sz="1400" b="0" i="1">
                        <a:latin typeface="Cambria Math" panose="02040503050406030204" pitchFamily="18" charset="0"/>
                      </a:rPr>
                      <m:t>∗100%</m:t>
                    </m:r>
                  </m:oMath>
                </m:oMathPara>
              </a14:m>
              <a:endParaRPr lang="es-CO" sz="1400"/>
            </a:p>
          </xdr:txBody>
        </xdr:sp>
      </mc:Choice>
      <mc:Fallback xmlns="">
        <xdr:sp macro="" textlink="">
          <xdr:nvSpPr>
            <xdr:cNvPr id="21" name="CuadroTexto 8">
              <a:extLst>
                <a:ext uri="{FF2B5EF4-FFF2-40B4-BE49-F238E27FC236}">
                  <a16:creationId xmlns:a16="http://schemas.microsoft.com/office/drawing/2014/main" xmlns="" xmlns:a14="http://schemas.microsoft.com/office/drawing/2010/main" id="{B06E0FA6-EC5A-CE4A-9FEB-46AECCB176E1}"/>
                </a:ext>
              </a:extLst>
            </xdr:cNvPr>
            <xdr:cNvSpPr txBox="1"/>
          </xdr:nvSpPr>
          <xdr:spPr>
            <a:xfrm>
              <a:off x="34165761" y="20354510"/>
              <a:ext cx="7131229" cy="445315"/>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s-CO" sz="1400" b="1" i="0" kern="1200">
                  <a:solidFill>
                    <a:schemeClr val="tx1"/>
                  </a:solidFill>
                  <a:effectLst/>
                  <a:latin typeface="Cambria Math" panose="02040503050406030204" pitchFamily="18" charset="0"/>
                  <a:ea typeface="+mn-ea"/>
                  <a:cs typeface="+mn-cs"/>
                </a:rPr>
                <a:t>𝑼𝒔𝒐 𝒅𝒆 𝒍𝒂  </a:t>
              </a:r>
              <a:r>
                <a:rPr lang="es-CO" sz="1400" b="1" i="0">
                  <a:latin typeface="Cambria Math" panose="02040503050406030204" pitchFamily="18" charset="0"/>
                </a:rPr>
                <a:t>𝑪𝒂𝒑𝒂𝒄𝒊𝒅𝒂𝒅 𝒊𝒏𝒔𝒕𝒂𝒍𝒂𝒅𝒂 </a:t>
              </a:r>
              <a:r>
                <a:rPr lang="es-CO" sz="1400" i="0">
                  <a:latin typeface="Cambria Math" panose="02040503050406030204" pitchFamily="18" charset="0"/>
                </a:rPr>
                <a:t>=(</a:t>
              </a:r>
              <a:r>
                <a:rPr lang="es-CO" sz="1400" b="0" i="0">
                  <a:latin typeface="Cambria Math" panose="02040503050406030204" pitchFamily="18" charset="0"/>
                </a:rPr>
                <a:t>𝑉𝑜𝑙𝑢𝑚𝑒𝑛 𝑑𝑒 𝑝𝑟𝑜𝑑𝑢𝑐𝑐𝑖o𝑛)/(𝐶𝑎𝑝𝑎𝑐𝑖𝑑𝑎𝑑 𝑖𝑛𝑠𝑡𝑎𝑙𝑎𝑑𝑎)∗100%</a:t>
              </a:r>
              <a:endParaRPr lang="es-CO" sz="1400"/>
            </a:p>
          </xdr:txBody>
        </xdr:sp>
      </mc:Fallback>
    </mc:AlternateContent>
    <xdr:clientData/>
  </xdr:twoCellAnchor>
  <xdr:twoCellAnchor>
    <xdr:from>
      <xdr:col>12</xdr:col>
      <xdr:colOff>107296</xdr:colOff>
      <xdr:row>14</xdr:row>
      <xdr:rowOff>271694</xdr:rowOff>
    </xdr:from>
    <xdr:to>
      <xdr:col>12</xdr:col>
      <xdr:colOff>6919114</xdr:colOff>
      <xdr:row>14</xdr:row>
      <xdr:rowOff>1375329</xdr:rowOff>
    </xdr:to>
    <mc:AlternateContent xmlns:mc="http://schemas.openxmlformats.org/markup-compatibility/2006" xmlns:a14="http://schemas.microsoft.com/office/drawing/2010/main">
      <mc:Choice Requires="a14">
        <xdr:sp macro="" textlink="">
          <xdr:nvSpPr>
            <xdr:cNvPr id="22" name="CuadroTexto 7">
              <a:extLst>
                <a:ext uri="{FF2B5EF4-FFF2-40B4-BE49-F238E27FC236}">
                  <a16:creationId xmlns:a16="http://schemas.microsoft.com/office/drawing/2014/main" xmlns="" id="{ADF507DB-E53E-FA4B-B638-2AFC8C44AECB}"/>
                </a:ext>
              </a:extLst>
            </xdr:cNvPr>
            <xdr:cNvSpPr txBox="1"/>
          </xdr:nvSpPr>
          <xdr:spPr>
            <a:xfrm>
              <a:off x="34065992" y="14745553"/>
              <a:ext cx="6811818" cy="1103635"/>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14:m>
                <m:oMathPara xmlns:m="http://schemas.openxmlformats.org/officeDocument/2006/math">
                  <m:oMathParaPr>
                    <m:jc m:val="left"/>
                  </m:oMathParaPr>
                  <m:oMath xmlns:m="http://schemas.openxmlformats.org/officeDocument/2006/math">
                    <m:r>
                      <a:rPr lang="es-CO" sz="1400" b="0" i="1" kern="1200">
                        <a:solidFill>
                          <a:schemeClr val="tx1"/>
                        </a:solidFill>
                        <a:latin typeface="Cambria Math" panose="02040503050406030204" pitchFamily="18" charset="0"/>
                        <a:ea typeface="+mn-ea"/>
                        <a:cs typeface="+mn-cs"/>
                      </a:rPr>
                      <m:t>𝑷𝒓𝒐𝒅𝒖𝒄𝒕𝒊𝒗𝒊𝒅𝒂𝒅</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𝒍𝒂𝒃𝒐𝒓𝒂𝒍</m:t>
                    </m:r>
                    <m:r>
                      <a:rPr lang="es-CO" sz="1400" b="0" i="1" kern="1200">
                        <a:solidFill>
                          <a:schemeClr val="tx1"/>
                        </a:solidFill>
                        <a:latin typeface="Cambria Math" panose="02040503050406030204" pitchFamily="18" charset="0"/>
                        <a:ea typeface="+mn-ea"/>
                        <a:cs typeface="+mn-cs"/>
                      </a:rPr>
                      <m:t>=</m:t>
                    </m:r>
                    <m:f>
                      <m:fPr>
                        <m:ctrlPr>
                          <a:rPr lang="es-CO" sz="1400" b="0" i="1" kern="1200">
                            <a:solidFill>
                              <a:schemeClr val="tx1"/>
                            </a:solidFill>
                            <a:latin typeface="Cambria Math" panose="02040503050406030204" pitchFamily="18" charset="0"/>
                            <a:ea typeface="+mn-ea"/>
                            <a:cs typeface="+mn-cs"/>
                          </a:rPr>
                        </m:ctrlPr>
                      </m:fPr>
                      <m:num>
                        <m:r>
                          <a:rPr lang="es-CO" sz="1400" b="0" i="1" kern="1200">
                            <a:solidFill>
                              <a:schemeClr val="tx1"/>
                            </a:solidFill>
                            <a:latin typeface="Cambria Math" panose="02040503050406030204" pitchFamily="18" charset="0"/>
                            <a:ea typeface="+mn-ea"/>
                            <a:cs typeface="+mn-cs"/>
                          </a:rPr>
                          <m:t>𝑈𝑛𝑖𝑑𝑎𝑑𝑒𝑠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𝑝𝑟𝑜𝑑𝑢𝑐𝑖𝑑𝑎𝑠</m:t>
                        </m:r>
                      </m:num>
                      <m:den>
                        <m:r>
                          <a:rPr lang="es-CO" sz="1400" b="0" i="1" kern="1200">
                            <a:solidFill>
                              <a:schemeClr val="tx1"/>
                            </a:solidFill>
                            <a:latin typeface="Cambria Math" panose="02040503050406030204" pitchFamily="18" charset="0"/>
                            <a:ea typeface="+mn-ea"/>
                            <a:cs typeface="+mn-cs"/>
                          </a:rPr>
                          <m:t>𝐻</m:t>
                        </m:r>
                        <m:r>
                          <a:rPr lang="es-CO" sz="1400" b="0" i="1" kern="1200">
                            <a:solidFill>
                              <a:schemeClr val="tx1"/>
                            </a:solidFill>
                            <a:latin typeface="Cambria Math" panose="02040503050406030204" pitchFamily="18" charset="0"/>
                            <a:ea typeface="+mn-ea"/>
                            <a:cs typeface="+mn-cs"/>
                          </a:rPr>
                          <m:t>.</m:t>
                        </m:r>
                        <m:r>
                          <a:rPr lang="es-CO" sz="1400" b="0" i="1" kern="1200">
                            <a:solidFill>
                              <a:schemeClr val="tx1"/>
                            </a:solidFill>
                            <a:latin typeface="Cambria Math" panose="02040503050406030204" pitchFamily="18" charset="0"/>
                            <a:ea typeface="+mn-ea"/>
                            <a:cs typeface="+mn-cs"/>
                          </a:rPr>
                          <m:t>𝐻</m:t>
                        </m:r>
                        <m:r>
                          <a:rPr lang="es-CO" sz="1400" b="0" i="1" kern="1200">
                            <a:solidFill>
                              <a:schemeClr val="tx1"/>
                            </a:solidFill>
                            <a:latin typeface="Cambria Math" panose="02040503050406030204" pitchFamily="18" charset="0"/>
                            <a:ea typeface="+mn-ea"/>
                            <a:cs typeface="+mn-cs"/>
                          </a:rPr>
                          <m:t>.</m:t>
                        </m:r>
                        <m:r>
                          <a:rPr lang="es-CO" sz="1400" b="0" i="1" kern="1200">
                            <a:solidFill>
                              <a:schemeClr val="tx1"/>
                            </a:solidFill>
                            <a:latin typeface="Cambria Math" panose="02040503050406030204" pitchFamily="18" charset="0"/>
                            <a:ea typeface="+mn-ea"/>
                            <a:cs typeface="+mn-cs"/>
                          </a:rPr>
                          <m:t>𝑟𝑒𝑎𝑙𝑒𝑠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𝑁</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𝑝𝑒𝑟𝑠𝑜𝑛𝑎𝑠</m:t>
                        </m:r>
                      </m:den>
                    </m:f>
                    <m:r>
                      <a:rPr lang="es-CO" sz="1400" b="0" i="1" kern="1200">
                        <a:solidFill>
                          <a:schemeClr val="tx1"/>
                        </a:solidFill>
                        <a:latin typeface="Cambria Math" panose="02040503050406030204" pitchFamily="18" charset="0"/>
                        <a:ea typeface="+mn-ea"/>
                        <a:cs typeface="+mn-cs"/>
                      </a:rPr>
                      <m:t>/</m:t>
                    </m:r>
                    <m:f>
                      <m:fPr>
                        <m:ctrlPr>
                          <a:rPr lang="es-CO" sz="1400" b="0" i="1" kern="1200">
                            <a:solidFill>
                              <a:schemeClr val="tx1"/>
                            </a:solidFill>
                            <a:latin typeface="Cambria Math" panose="02040503050406030204" pitchFamily="18" charset="0"/>
                            <a:ea typeface="+mn-ea"/>
                            <a:cs typeface="+mn-cs"/>
                          </a:rPr>
                        </m:ctrlPr>
                      </m:fPr>
                      <m:num>
                        <m:r>
                          <a:rPr lang="es-CO" sz="1400" b="0" i="1" kern="1200">
                            <a:solidFill>
                              <a:schemeClr val="tx1"/>
                            </a:solidFill>
                            <a:latin typeface="Cambria Math" panose="02040503050406030204" pitchFamily="18" charset="0"/>
                            <a:ea typeface="+mn-ea"/>
                            <a:cs typeface="+mn-cs"/>
                          </a:rPr>
                          <m:t>𝑈𝑛𝑖𝑑𝑎𝑑𝑒𝑠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𝑃𝑟𝑜𝑑𝑢𝑐𝑖𝑑𝑎𝑠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𝑑𝑒</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𝑎𝑐𝑢𝑒𝑟𝑑𝑜</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𝑎</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𝑐𝑎𝑝𝑎𝑐𝑖𝑑𝑎𝑑</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𝑡</m:t>
                        </m:r>
                        <m:r>
                          <a:rPr lang="es-CO" sz="1400" b="0" i="1" kern="1200">
                            <a:solidFill>
                              <a:schemeClr val="tx1"/>
                            </a:solidFill>
                            <a:latin typeface="Cambria Math" panose="02040503050406030204" pitchFamily="18" charset="0"/>
                            <a:ea typeface="+mn-ea"/>
                            <a:cs typeface="+mn-cs"/>
                          </a:rPr>
                          <m:t>é</m:t>
                        </m:r>
                        <m:r>
                          <a:rPr lang="es-CO" sz="1400" b="0" i="1" kern="1200">
                            <a:solidFill>
                              <a:schemeClr val="tx1"/>
                            </a:solidFill>
                            <a:latin typeface="Cambria Math" panose="02040503050406030204" pitchFamily="18" charset="0"/>
                            <a:ea typeface="+mn-ea"/>
                            <a:cs typeface="+mn-cs"/>
                          </a:rPr>
                          <m:t>𝑜𝑟𝑖𝑐𝑎</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𝑝𝑟𝑜𝑝𝑢𝑒𝑠𝑡𝑎</m:t>
                        </m:r>
                      </m:num>
                      <m:den>
                        <m:r>
                          <a:rPr lang="es-CO" sz="1400" b="0" i="1" kern="1200">
                            <a:solidFill>
                              <a:schemeClr val="tx1"/>
                            </a:solidFill>
                            <a:latin typeface="Cambria Math" panose="02040503050406030204" pitchFamily="18" charset="0"/>
                            <a:ea typeface="+mn-ea"/>
                            <a:cs typeface="+mn-cs"/>
                          </a:rPr>
                          <m:t>𝐻</m:t>
                        </m:r>
                        <m:r>
                          <a:rPr lang="es-CO" sz="1400" b="0" i="1" kern="1200">
                            <a:solidFill>
                              <a:schemeClr val="tx1"/>
                            </a:solidFill>
                            <a:latin typeface="Cambria Math" panose="02040503050406030204" pitchFamily="18" charset="0"/>
                            <a:ea typeface="+mn-ea"/>
                            <a:cs typeface="+mn-cs"/>
                          </a:rPr>
                          <m:t>.</m:t>
                        </m:r>
                        <m:r>
                          <a:rPr lang="es-CO" sz="1400" b="0" i="1" kern="1200">
                            <a:solidFill>
                              <a:schemeClr val="tx1"/>
                            </a:solidFill>
                            <a:latin typeface="Cambria Math" panose="02040503050406030204" pitchFamily="18" charset="0"/>
                            <a:ea typeface="+mn-ea"/>
                            <a:cs typeface="+mn-cs"/>
                          </a:rPr>
                          <m:t>𝐻</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𝑃𝑙𝑎𝑛𝑖𝑓𝑖𝑐𝑎𝑑𝑎𝑠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𝑁</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𝑝𝑒𝑟𝑠𝑜𝑛𝑎𝑠</m:t>
                        </m:r>
                      </m:den>
                    </m:f>
                    <m:r>
                      <a:rPr lang="es-CO" sz="1400" b="0" i="1" kern="1200">
                        <a:solidFill>
                          <a:schemeClr val="tx1"/>
                        </a:solidFill>
                        <a:latin typeface="Cambria Math" panose="02040503050406030204" pitchFamily="18" charset="0"/>
                        <a:ea typeface="+mn-ea"/>
                        <a:cs typeface="+mn-cs"/>
                      </a:rPr>
                      <m:t>∗100%</m:t>
                    </m:r>
                  </m:oMath>
                </m:oMathPara>
              </a14:m>
              <a:endParaRPr lang="es-CO" sz="1400" b="0" i="1" kern="1200">
                <a:solidFill>
                  <a:schemeClr val="tx1"/>
                </a:solidFill>
                <a:latin typeface="Cambria Math" panose="02040503050406030204" pitchFamily="18" charset="0"/>
                <a:ea typeface="+mn-ea"/>
                <a:cs typeface="+mn-cs"/>
              </a:endParaRPr>
            </a:p>
          </xdr:txBody>
        </xdr:sp>
      </mc:Choice>
      <mc:Fallback xmlns="">
        <xdr:sp macro="" textlink="">
          <xdr:nvSpPr>
            <xdr:cNvPr id="22" name="CuadroTexto 7">
              <a:extLst>
                <a:ext uri="{FF2B5EF4-FFF2-40B4-BE49-F238E27FC236}">
                  <a16:creationId xmlns="" xmlns:a16="http://schemas.microsoft.com/office/drawing/2014/main" xmlns:a14="http://schemas.microsoft.com/office/drawing/2010/main" id="{ADF507DB-E53E-FA4B-B638-2AFC8C44AECB}"/>
                </a:ext>
              </a:extLst>
            </xdr:cNvPr>
            <xdr:cNvSpPr txBox="1"/>
          </xdr:nvSpPr>
          <xdr:spPr>
            <a:xfrm>
              <a:off x="34065992" y="14745553"/>
              <a:ext cx="6811818" cy="1103635"/>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1400" b="0" i="0" kern="1200">
                  <a:solidFill>
                    <a:schemeClr val="tx1"/>
                  </a:solidFill>
                  <a:latin typeface="Cambria Math" panose="02040503050406030204" pitchFamily="18" charset="0"/>
                  <a:ea typeface="+mn-ea"/>
                  <a:cs typeface="+mn-cs"/>
                </a:rPr>
                <a:t>𝑷𝒓𝒐𝒅𝒖𝒄𝒕𝒊𝒗𝒊𝒅𝒂𝒅 𝒍𝒂𝒃𝒐𝒓𝒂𝒍=(𝑈𝑛𝑖𝑑𝑎𝑑𝑒𝑠 𝑝𝑟𝑜𝑑𝑢𝑐𝑖𝑑𝑎𝑠)/(𝐻.𝐻.𝑟𝑒𝑎𝑙𝑒𝑠 ∗𝑁° 𝑝𝑒𝑟𝑠𝑜𝑛𝑎𝑠)/(𝑈𝑛𝑖𝑑𝑎𝑑𝑒𝑠 𝑃𝑟𝑜𝑑𝑢𝑐𝑖𝑑𝑎𝑠 𝑑𝑒 𝑎𝑐𝑢𝑒𝑟𝑑𝑜 𝑎 𝑐𝑎𝑝𝑎𝑐𝑖𝑑𝑎𝑑 𝑡é𝑜𝑟𝑖𝑐𝑎 𝑝𝑟𝑜𝑝𝑢𝑒𝑠𝑡𝑎)/(𝐻.𝐻. 𝑃𝑙𝑎𝑛𝑖𝑓𝑖𝑐𝑎𝑑𝑎𝑠 ∗𝑁° 𝑝𝑒𝑟𝑠𝑜𝑛𝑎𝑠)∗100%</a:t>
              </a:r>
              <a:endParaRPr lang="es-CO" sz="1400" b="0" i="1" kern="1200">
                <a:solidFill>
                  <a:schemeClr val="tx1"/>
                </a:solidFill>
                <a:latin typeface="Cambria Math" panose="02040503050406030204" pitchFamily="18" charset="0"/>
                <a:ea typeface="+mn-ea"/>
                <a:cs typeface="+mn-cs"/>
              </a:endParaRP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16</xdr:col>
      <xdr:colOff>701523</xdr:colOff>
      <xdr:row>9</xdr:row>
      <xdr:rowOff>256950</xdr:rowOff>
    </xdr:from>
    <xdr:to>
      <xdr:col>17</xdr:col>
      <xdr:colOff>13734142</xdr:colOff>
      <xdr:row>14</xdr:row>
      <xdr:rowOff>3731381</xdr:rowOff>
    </xdr:to>
    <xdr:graphicFrame macro="">
      <xdr:nvGraphicFramePr>
        <xdr:cNvPr id="2" name="Gráfico 1">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66323</xdr:colOff>
      <xdr:row>1</xdr:row>
      <xdr:rowOff>243328</xdr:rowOff>
    </xdr:from>
    <xdr:to>
      <xdr:col>5</xdr:col>
      <xdr:colOff>748393</xdr:colOff>
      <xdr:row>4</xdr:row>
      <xdr:rowOff>344649</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5252" y="492792"/>
          <a:ext cx="2088141" cy="1484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0.39914</cdr:x>
      <cdr:y>0.58867</cdr:y>
    </cdr:from>
    <cdr:to>
      <cdr:x>0.64996</cdr:x>
      <cdr:y>0.68703</cdr:y>
    </cdr:to>
    <cdr:sp macro="" textlink="'GESTIÓN DE PRODUCCIÓN'!$P$10">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6075701" y="2895118"/>
          <a:ext cx="3817990" cy="483744"/>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32F69D5E-76F6-4EE1-8C89-F3FE7328F35E}" type="TxLink">
            <a:rPr lang="en-US" sz="1400" b="0" i="0" u="none" strike="noStrike">
              <a:solidFill>
                <a:srgbClr val="FFFFFF"/>
              </a:solidFill>
              <a:latin typeface="Arial"/>
              <a:cs typeface="Arial"/>
            </a:rPr>
            <a:pPr algn="ctr"/>
            <a:t>#¡REF!</a:t>
          </a:fld>
          <a:endParaRPr lang="es-CO" sz="2500">
            <a:solidFill>
              <a:schemeClr val="bg1"/>
            </a:solidFill>
          </a:endParaRPr>
        </a:p>
      </cdr:txBody>
    </cdr:sp>
  </cdr:relSizeAnchor>
  <cdr:relSizeAnchor xmlns:cdr="http://schemas.openxmlformats.org/drawingml/2006/chartDrawing">
    <cdr:from>
      <cdr:x>0.07589</cdr:x>
      <cdr:y>0.71484</cdr:y>
    </cdr:from>
    <cdr:to>
      <cdr:x>0.96234</cdr:x>
      <cdr:y>0.98636</cdr:y>
    </cdr:to>
    <cdr:sp macro="" textlink="'GESTIÓN DE PRODUCCIÓN'!#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295765" y="4993523"/>
          <a:ext cx="15134859" cy="1896694"/>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99930DBF-8FFD-4C50-AB6D-DA54A1B346DD}" type="TxLink">
            <a:rPr lang="en-US" sz="1400" b="0" i="0" u="none" strike="noStrike">
              <a:solidFill>
                <a:schemeClr val="bg1"/>
              </a:solidFill>
              <a:latin typeface="Arial"/>
              <a:cs typeface="Arial"/>
            </a:rPr>
            <a:pPr algn="ctr"/>
            <a:t>Optimizar el uso de la capacidad productiva y operativa de la E.L.C.</a:t>
          </a:fld>
          <a:endParaRPr lang="es-CO" sz="4800">
            <a:solidFill>
              <a:schemeClr val="bg1"/>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0.07529</cdr:x>
      <cdr:y>0.69308</cdr:y>
    </cdr:from>
    <cdr:to>
      <cdr:x>0.96174</cdr:x>
      <cdr:y>0.9646</cdr:y>
    </cdr:to>
    <cdr:sp macro="" textlink="'GESTIÓN DE PRODUCCIÓN'!#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07926" y="4244115"/>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E61BC05-5784-4C4F-BC9F-3E9054470808}"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GESTIÓN DE PRODUCCIÓN'!#REF!">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41B2596-081C-445E-89DC-928723636BCD}" type="TxLink">
            <a:rPr lang="en-US" sz="2400" b="0" i="0" u="none" strike="noStrike">
              <a:solidFill>
                <a:schemeClr val="bg1"/>
              </a:solidFill>
              <a:latin typeface="Arial"/>
              <a:cs typeface="Arial"/>
            </a:rPr>
            <a:pPr algn="ctr"/>
            <a:t>#¡REF!</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2333196</xdr:colOff>
      <xdr:row>1</xdr:row>
      <xdr:rowOff>201915</xdr:rowOff>
    </xdr:from>
    <xdr:to>
      <xdr:col>4</xdr:col>
      <xdr:colOff>536026</xdr:colOff>
      <xdr:row>4</xdr:row>
      <xdr:rowOff>303236</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7598" y="450393"/>
          <a:ext cx="2447667" cy="150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857248</xdr:colOff>
      <xdr:row>10</xdr:row>
      <xdr:rowOff>404813</xdr:rowOff>
    </xdr:from>
    <xdr:to>
      <xdr:col>17</xdr:col>
      <xdr:colOff>12309607</xdr:colOff>
      <xdr:row>14</xdr:row>
      <xdr:rowOff>2667000</xdr:rowOff>
    </xdr:to>
    <xdr:graphicFrame macro="">
      <xdr:nvGraphicFramePr>
        <xdr:cNvPr id="9" name="Gráfico 8">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2909454</xdr:colOff>
      <xdr:row>15</xdr:row>
      <xdr:rowOff>0</xdr:rowOff>
    </xdr:from>
    <xdr:to>
      <xdr:col>17</xdr:col>
      <xdr:colOff>12685197</xdr:colOff>
      <xdr:row>15</xdr:row>
      <xdr:rowOff>17319</xdr:rowOff>
    </xdr:to>
    <xdr:graphicFrame macro="">
      <xdr:nvGraphicFramePr>
        <xdr:cNvPr id="14" name="Gráfico 13">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GESTIÓN JURIDICA'!$D$10">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ACAF368E-7C47-418D-A13E-275BED65C793}" type="TxLink">
            <a:rPr lang="en-US" sz="2400" b="0" i="0" u="none" strike="noStrike">
              <a:solidFill>
                <a:schemeClr val="bg1"/>
              </a:solidFill>
              <a:latin typeface="Arial"/>
              <a:cs typeface="Arial"/>
            </a:rPr>
            <a:pPr algn="ctr"/>
            <a:t>Brindar asesoría Jurídica oportuna, con credibilidad, eficacia.</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GESTIÓN JURIDICA'!$P$11">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F68E17E1-9356-4058-B2B5-800F68B5426C}" type="TxLink">
            <a:rPr lang="en-US" sz="1400" b="0" i="0" u="none" strike="noStrike">
              <a:solidFill>
                <a:schemeClr val="bg1"/>
              </a:solidFill>
              <a:latin typeface="Arial"/>
              <a:cs typeface="Arial"/>
            </a:rPr>
            <a:pPr algn="ctr"/>
            <a:t>55%</a:t>
          </a:fld>
          <a:endParaRPr lang="es-CO" sz="25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24.xml><?xml version="1.0" encoding="utf-8"?>
<c:userShapes xmlns:c="http://schemas.openxmlformats.org/drawingml/2006/chart">
  <cdr:relSizeAnchor xmlns:cdr="http://schemas.openxmlformats.org/drawingml/2006/chartDrawing">
    <cdr:from>
      <cdr:x>0.07529</cdr:x>
      <cdr:y>0.69308</cdr:y>
    </cdr:from>
    <cdr:to>
      <cdr:x>0.96174</cdr:x>
      <cdr:y>0.9646</cdr:y>
    </cdr:to>
    <cdr:sp macro="" textlink="'GESTIÓN JURIDICA'!#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07926" y="4244115"/>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E61BC05-5784-4C4F-BC9F-3E9054470808}"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GESTIÓN JURIDICA'!#REF!">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41B2596-081C-445E-89DC-928723636BCD}" type="TxLink">
            <a:rPr lang="en-US" sz="2400" b="0" i="0" u="none" strike="noStrike">
              <a:solidFill>
                <a:schemeClr val="bg1"/>
              </a:solidFill>
              <a:latin typeface="Arial"/>
              <a:cs typeface="Arial"/>
            </a:rPr>
            <a:pPr algn="ctr"/>
            <a:t>#¡REF!</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2167544</xdr:colOff>
      <xdr:row>1</xdr:row>
      <xdr:rowOff>222622</xdr:rowOff>
    </xdr:from>
    <xdr:to>
      <xdr:col>3</xdr:col>
      <xdr:colOff>1180272</xdr:colOff>
      <xdr:row>4</xdr:row>
      <xdr:rowOff>323943</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8522" y="471100"/>
          <a:ext cx="1932348" cy="1550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2909454</xdr:colOff>
      <xdr:row>13</xdr:row>
      <xdr:rowOff>0</xdr:rowOff>
    </xdr:from>
    <xdr:to>
      <xdr:col>17</xdr:col>
      <xdr:colOff>12685197</xdr:colOff>
      <xdr:row>13</xdr:row>
      <xdr:rowOff>17319</xdr:rowOff>
    </xdr:to>
    <xdr:graphicFrame macro="">
      <xdr:nvGraphicFramePr>
        <xdr:cNvPr id="14" name="Gráfico 13">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0.07529</cdr:x>
      <cdr:y>0.69308</cdr:y>
    </cdr:from>
    <cdr:to>
      <cdr:x>0.96174</cdr:x>
      <cdr:y>0.9646</cdr:y>
    </cdr:to>
    <cdr:sp macro="" textlink="'GESTIÓN TIC'!#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07926" y="4244115"/>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E61BC05-5784-4C4F-BC9F-3E9054470808}"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GESTIÓN TIC'!#REF!">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41B2596-081C-445E-89DC-928723636BCD}" type="TxLink">
            <a:rPr lang="en-US" sz="2400" b="0" i="0" u="none" strike="noStrike">
              <a:solidFill>
                <a:schemeClr val="bg1"/>
              </a:solidFill>
              <a:latin typeface="Arial"/>
              <a:cs typeface="Arial"/>
            </a:rPr>
            <a:pPr algn="ctr"/>
            <a:t>#¡REF!</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27.xml><?xml version="1.0" encoding="utf-8"?>
<xdr:wsDr xmlns:xdr="http://schemas.openxmlformats.org/drawingml/2006/spreadsheetDrawing" xmlns:a="http://schemas.openxmlformats.org/drawingml/2006/main">
  <xdr:twoCellAnchor>
    <xdr:from>
      <xdr:col>2</xdr:col>
      <xdr:colOff>2830151</xdr:colOff>
      <xdr:row>1</xdr:row>
      <xdr:rowOff>284740</xdr:rowOff>
    </xdr:from>
    <xdr:to>
      <xdr:col>4</xdr:col>
      <xdr:colOff>869674</xdr:colOff>
      <xdr:row>4</xdr:row>
      <xdr:rowOff>386061</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9010" y="533218"/>
          <a:ext cx="2553544" cy="1509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857248</xdr:colOff>
      <xdr:row>9</xdr:row>
      <xdr:rowOff>785814</xdr:rowOff>
    </xdr:from>
    <xdr:to>
      <xdr:col>17</xdr:col>
      <xdr:colOff>12309607</xdr:colOff>
      <xdr:row>13</xdr:row>
      <xdr:rowOff>3000376</xdr:rowOff>
    </xdr:to>
    <xdr:graphicFrame macro="">
      <xdr:nvGraphicFramePr>
        <xdr:cNvPr id="11" name="Gráfico 10">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2909454</xdr:colOff>
      <xdr:row>14</xdr:row>
      <xdr:rowOff>0</xdr:rowOff>
    </xdr:from>
    <xdr:to>
      <xdr:col>17</xdr:col>
      <xdr:colOff>12685197</xdr:colOff>
      <xdr:row>14</xdr:row>
      <xdr:rowOff>17319</xdr:rowOff>
    </xdr:to>
    <xdr:graphicFrame macro="">
      <xdr:nvGraphicFramePr>
        <xdr:cNvPr id="14" name="Gráfico 13">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INNOVACIÓN Y DESARROLLO '!#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1CDA5F91-3E02-4895-BCC3-3C9B3BF60082}" type="TxLink">
            <a:rPr lang="en-US" sz="2400" b="0" i="0" u="none" strike="noStrike">
              <a:solidFill>
                <a:schemeClr val="bg1"/>
              </a:solidFill>
              <a:latin typeface="Arial"/>
              <a:cs typeface="Arial"/>
            </a:rPr>
            <a:pPr algn="ctr"/>
            <a:t>Fomentar espacios de uso de metodologías de innovación como un factor estratégico clave para la efectividad de la gestión.</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INNOVACIÓN Y DESARROLLO '!$P$10">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0F3076BB-EBC2-4BCB-8BA7-74762A5F5534}" type="TxLink">
            <a:rPr lang="en-US" sz="1400" b="0" i="0" u="none" strike="noStrike">
              <a:solidFill>
                <a:schemeClr val="bg1"/>
              </a:solidFill>
              <a:latin typeface="Arial"/>
              <a:cs typeface="Arial"/>
            </a:rPr>
            <a:pPr algn="ctr"/>
            <a:t>32%</a:t>
          </a:fld>
          <a:endParaRPr lang="es-CO" sz="25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29.xml><?xml version="1.0" encoding="utf-8"?>
<c:userShapes xmlns:c="http://schemas.openxmlformats.org/drawingml/2006/chart">
  <cdr:relSizeAnchor xmlns:cdr="http://schemas.openxmlformats.org/drawingml/2006/chartDrawing">
    <cdr:from>
      <cdr:x>0.07529</cdr:x>
      <cdr:y>0.69308</cdr:y>
    </cdr:from>
    <cdr:to>
      <cdr:x>0.96174</cdr:x>
      <cdr:y>0.9646</cdr:y>
    </cdr:to>
    <cdr:sp macro="" textlink="'INNOVACIÓN Y DESARROLLO '!#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07926" y="4244115"/>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E61BC05-5784-4C4F-BC9F-3E9054470808}"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INNOVACIÓN Y DESARROLLO '!#REF!">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41B2596-081C-445E-89DC-928723636BCD}" type="TxLink">
            <a:rPr lang="en-US" sz="2400" b="0" i="0" u="none" strike="noStrike">
              <a:solidFill>
                <a:schemeClr val="bg1"/>
              </a:solidFill>
              <a:latin typeface="Arial"/>
              <a:cs typeface="Arial"/>
            </a:rPr>
            <a:pPr algn="ctr"/>
            <a:t>#¡REF!</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3.xml><?xml version="1.0" encoding="utf-8"?>
<c:userShapes xmlns:c="http://schemas.openxmlformats.org/drawingml/2006/chart">
  <cdr:relSizeAnchor xmlns:cdr="http://schemas.openxmlformats.org/drawingml/2006/chartDrawing">
    <cdr:from>
      <cdr:x>0.38323</cdr:x>
      <cdr:y>0.48613</cdr:y>
    </cdr:from>
    <cdr:to>
      <cdr:x>0.63405</cdr:x>
      <cdr:y>0.58449</cdr:y>
    </cdr:to>
    <cdr:sp macro="" textlink="'SISTEMA INTEGRADO DE GESTIÓN'!$P$10">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263344" y="3534347"/>
          <a:ext cx="3444798" cy="71511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51A63595-E0C7-4D3A-9CD5-6F54DFF39596}" type="TxLink">
            <a:rPr lang="en-US" sz="2500" b="0" i="0" u="none" strike="noStrike">
              <a:solidFill>
                <a:schemeClr val="bg1"/>
              </a:solidFill>
              <a:latin typeface="Arial"/>
              <a:cs typeface="Arial"/>
            </a:rPr>
            <a:pPr algn="ctr"/>
            <a:t>80%</a:t>
          </a:fld>
          <a:endParaRPr lang="es-CO" sz="2500">
            <a:solidFill>
              <a:schemeClr val="bg1"/>
            </a:solidFill>
          </a:endParaRPr>
        </a:p>
      </cdr:txBody>
    </cdr:sp>
  </cdr:relSizeAnchor>
  <cdr:relSizeAnchor xmlns:cdr="http://schemas.openxmlformats.org/drawingml/2006/chartDrawing">
    <cdr:from>
      <cdr:x>0.07373</cdr:x>
      <cdr:y>0.60053</cdr:y>
    </cdr:from>
    <cdr:to>
      <cdr:x>0.96018</cdr:x>
      <cdr:y>0.87205</cdr:y>
    </cdr:to>
    <cdr:sp macro="" textlink="'SISTEMA INTEGRADO DE GESTIÓN'!$D$10">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201676" y="4364986"/>
          <a:ext cx="14447657" cy="197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A69B9EF6-4073-496A-8475-A9C751E84EEF}" type="TxLink">
            <a:rPr lang="en-US" sz="2400" b="0" i="0" u="none" strike="noStrike">
              <a:solidFill>
                <a:schemeClr val="bg1"/>
              </a:solidFill>
              <a:latin typeface="Arial"/>
              <a:cs typeface="Arial"/>
            </a:rPr>
            <a:pPr algn="ctr"/>
            <a:t>Evaluar y mejorar de manera continua el Sistema Integrado de Gestión.</a:t>
          </a:fld>
          <a:endParaRPr lang="es-CO" sz="7200">
            <a:solidFill>
              <a:schemeClr val="bg1"/>
            </a:solidFill>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2</xdr:col>
      <xdr:colOff>3540815</xdr:colOff>
      <xdr:row>1</xdr:row>
      <xdr:rowOff>243328</xdr:rowOff>
    </xdr:from>
    <xdr:to>
      <xdr:col>4</xdr:col>
      <xdr:colOff>287547</xdr:colOff>
      <xdr:row>4</xdr:row>
      <xdr:rowOff>344649</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7554" y="491806"/>
          <a:ext cx="2979395" cy="1550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807477</xdr:colOff>
      <xdr:row>9</xdr:row>
      <xdr:rowOff>1071563</xdr:rowOff>
    </xdr:from>
    <xdr:to>
      <xdr:col>17</xdr:col>
      <xdr:colOff>12309607</xdr:colOff>
      <xdr:row>11</xdr:row>
      <xdr:rowOff>3309938</xdr:rowOff>
    </xdr:to>
    <xdr:graphicFrame macro="">
      <xdr:nvGraphicFramePr>
        <xdr:cNvPr id="12" name="Gráfico 11">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887556</xdr:colOff>
      <xdr:row>12</xdr:row>
      <xdr:rowOff>416718</xdr:rowOff>
    </xdr:from>
    <xdr:to>
      <xdr:col>17</xdr:col>
      <xdr:colOff>12334503</xdr:colOff>
      <xdr:row>13</xdr:row>
      <xdr:rowOff>2708671</xdr:rowOff>
    </xdr:to>
    <xdr:graphicFrame macro="">
      <xdr:nvGraphicFramePr>
        <xdr:cNvPr id="13" name="Gráfico 12">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2909454</xdr:colOff>
      <xdr:row>14</xdr:row>
      <xdr:rowOff>8660</xdr:rowOff>
    </xdr:from>
    <xdr:to>
      <xdr:col>17</xdr:col>
      <xdr:colOff>12685197</xdr:colOff>
      <xdr:row>15</xdr:row>
      <xdr:rowOff>17319</xdr:rowOff>
    </xdr:to>
    <xdr:graphicFrame macro="">
      <xdr:nvGraphicFramePr>
        <xdr:cNvPr id="14" name="Gráfico 13">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887556</xdr:colOff>
      <xdr:row>12</xdr:row>
      <xdr:rowOff>416718</xdr:rowOff>
    </xdr:from>
    <xdr:to>
      <xdr:col>17</xdr:col>
      <xdr:colOff>12334503</xdr:colOff>
      <xdr:row>14</xdr:row>
      <xdr:rowOff>0</xdr:rowOff>
    </xdr:to>
    <xdr:graphicFrame macro="">
      <xdr:nvGraphicFramePr>
        <xdr:cNvPr id="15" name="Gráfico 14">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GESTIÓN AMBIENTAL'!#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A637BD1B-F9EF-4DA9-ABB8-E2D011417A20}"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GESTIÓN AMBIENTAL'!#REF!">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D22C219E-E839-418C-A15A-9B5504DA7EE9}" type="TxLink">
            <a:rPr lang="en-US" sz="2500" b="0" i="0" u="none" strike="noStrike">
              <a:solidFill>
                <a:srgbClr val="FFFFFF"/>
              </a:solidFill>
              <a:latin typeface="Arial"/>
              <a:cs typeface="Arial"/>
            </a:rPr>
            <a:pPr algn="ctr"/>
            <a:t>#¡REF!</a:t>
          </a:fld>
          <a:endParaRPr lang="es-CO" sz="25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32.xml><?xml version="1.0" encoding="utf-8"?>
<c:userShapes xmlns:c="http://schemas.openxmlformats.org/drawingml/2006/chart">
  <cdr:relSizeAnchor xmlns:cdr="http://schemas.openxmlformats.org/drawingml/2006/chartDrawing">
    <cdr:from>
      <cdr:x>0.06352</cdr:x>
      <cdr:y>0.68954</cdr:y>
    </cdr:from>
    <cdr:to>
      <cdr:x>0.94997</cdr:x>
      <cdr:y>0.96106</cdr:y>
    </cdr:to>
    <cdr:sp macro="" textlink="'GESTIÓN AMBIENTAL'!#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934697" y="4222463"/>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0A645EC1-2F12-4E95-83E1-4EC1FD7FA453}"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GESTIÓN AMBIENTAL'!$P$13">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3AAF9B4C-AD33-404C-9885-15DB6CBCB2D9}" type="TxLink">
            <a:rPr lang="en-US" sz="2400" b="0" i="0" u="none" strike="noStrike">
              <a:solidFill>
                <a:schemeClr val="bg1"/>
              </a:solidFill>
              <a:latin typeface="Arial"/>
              <a:cs typeface="Arial"/>
            </a:rPr>
            <a:pPr algn="ctr"/>
            <a:t>5%</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33.xml><?xml version="1.0" encoding="utf-8"?>
<c:userShapes xmlns:c="http://schemas.openxmlformats.org/drawingml/2006/chart">
  <cdr:relSizeAnchor xmlns:cdr="http://schemas.openxmlformats.org/drawingml/2006/chartDrawing">
    <cdr:from>
      <cdr:x>0.07529</cdr:x>
      <cdr:y>0.69308</cdr:y>
    </cdr:from>
    <cdr:to>
      <cdr:x>0.96174</cdr:x>
      <cdr:y>0.9646</cdr:y>
    </cdr:to>
    <cdr:sp macro="" textlink="'GESTIÓN AMBIENTAL'!#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07926" y="4244115"/>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E61BC05-5784-4C4F-BC9F-3E9054470808}"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GESTIÓN AMBIENTAL'!$P$15">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41B2596-081C-445E-89DC-928723636BCD}" type="TxLink">
            <a:rPr lang="en-US" sz="2400" b="0" i="0" u="none" strike="noStrike">
              <a:solidFill>
                <a:schemeClr val="bg1"/>
              </a:solidFill>
              <a:latin typeface="Arial"/>
              <a:cs typeface="Arial"/>
            </a:rPr>
            <a:pPr algn="ctr"/>
            <a:t>4%</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34.xml><?xml version="1.0" encoding="utf-8"?>
<c:userShapes xmlns:c="http://schemas.openxmlformats.org/drawingml/2006/chart">
  <cdr:relSizeAnchor xmlns:cdr="http://schemas.openxmlformats.org/drawingml/2006/chartDrawing">
    <cdr:from>
      <cdr:x>0.06352</cdr:x>
      <cdr:y>0.68954</cdr:y>
    </cdr:from>
    <cdr:to>
      <cdr:x>0.94997</cdr:x>
      <cdr:y>0.96106</cdr:y>
    </cdr:to>
    <cdr:sp macro="" textlink="'GESTIÓN AMBIENTAL'!$D$21">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934697" y="4222463"/>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0A645EC1-2F12-4E95-83E1-4EC1FD7FA453}"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GESTIÓN AMBIENTAL'!$P$21">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3AAF9B4C-AD33-404C-9885-15DB6CBCB2D9}"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35.xml><?xml version="1.0" encoding="utf-8"?>
<xdr:wsDr xmlns:xdr="http://schemas.openxmlformats.org/drawingml/2006/spreadsheetDrawing" xmlns:a="http://schemas.openxmlformats.org/drawingml/2006/main">
  <xdr:twoCellAnchor>
    <xdr:from>
      <xdr:col>16</xdr:col>
      <xdr:colOff>725914</xdr:colOff>
      <xdr:row>9</xdr:row>
      <xdr:rowOff>453353</xdr:rowOff>
    </xdr:from>
    <xdr:to>
      <xdr:col>16</xdr:col>
      <xdr:colOff>2569429</xdr:colOff>
      <xdr:row>14</xdr:row>
      <xdr:rowOff>1581234</xdr:rowOff>
    </xdr:to>
    <xdr:graphicFrame macro="">
      <xdr:nvGraphicFramePr>
        <xdr:cNvPr id="6" name="Gráfico 5">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1056970</xdr:colOff>
      <xdr:row>17</xdr:row>
      <xdr:rowOff>1331190</xdr:rowOff>
    </xdr:from>
    <xdr:to>
      <xdr:col>17</xdr:col>
      <xdr:colOff>149470</xdr:colOff>
      <xdr:row>19</xdr:row>
      <xdr:rowOff>2584268</xdr:rowOff>
    </xdr:to>
    <xdr:graphicFrame macro="">
      <xdr:nvGraphicFramePr>
        <xdr:cNvPr id="5" name="Gráfico 4">
          <a:extLst>
            <a:ext uri="{FF2B5EF4-FFF2-40B4-BE49-F238E27FC236}">
              <a16:creationId xmlns:a16="http://schemas.microsoft.com/office/drawing/2014/main" xmlns=""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1308772</xdr:colOff>
      <xdr:row>23</xdr:row>
      <xdr:rowOff>2993351</xdr:rowOff>
    </xdr:from>
    <xdr:to>
      <xdr:col>17</xdr:col>
      <xdr:colOff>515084</xdr:colOff>
      <xdr:row>25</xdr:row>
      <xdr:rowOff>3469603</xdr:rowOff>
    </xdr:to>
    <xdr:graphicFrame macro="">
      <xdr:nvGraphicFramePr>
        <xdr:cNvPr id="7" name="Gráfico 6">
          <a:extLst>
            <a:ext uri="{FF2B5EF4-FFF2-40B4-BE49-F238E27FC236}">
              <a16:creationId xmlns:a16="http://schemas.microsoft.com/office/drawing/2014/main" xmlns=""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1310297</xdr:colOff>
      <xdr:row>31</xdr:row>
      <xdr:rowOff>1117353</xdr:rowOff>
    </xdr:from>
    <xdr:to>
      <xdr:col>17</xdr:col>
      <xdr:colOff>516549</xdr:colOff>
      <xdr:row>35</xdr:row>
      <xdr:rowOff>35411</xdr:rowOff>
    </xdr:to>
    <xdr:graphicFrame macro="">
      <xdr:nvGraphicFramePr>
        <xdr:cNvPr id="10" name="Gráfico 9">
          <a:extLst>
            <a:ext uri="{FF2B5EF4-FFF2-40B4-BE49-F238E27FC236}">
              <a16:creationId xmlns:a16="http://schemas.microsoft.com/office/drawing/2014/main" xmlns=""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1344136</xdr:colOff>
      <xdr:row>66</xdr:row>
      <xdr:rowOff>2204597</xdr:rowOff>
    </xdr:from>
    <xdr:to>
      <xdr:col>17</xdr:col>
      <xdr:colOff>550403</xdr:colOff>
      <xdr:row>69</xdr:row>
      <xdr:rowOff>2527207</xdr:rowOff>
    </xdr:to>
    <xdr:graphicFrame macro="">
      <xdr:nvGraphicFramePr>
        <xdr:cNvPr id="11" name="Gráfico 10">
          <a:extLst>
            <a:ext uri="{FF2B5EF4-FFF2-40B4-BE49-F238E27FC236}">
              <a16:creationId xmlns:a16="http://schemas.microsoft.com/office/drawing/2014/main" xmlns=""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1351570</xdr:colOff>
      <xdr:row>72</xdr:row>
      <xdr:rowOff>564314</xdr:rowOff>
    </xdr:from>
    <xdr:to>
      <xdr:col>17</xdr:col>
      <xdr:colOff>440347</xdr:colOff>
      <xdr:row>77</xdr:row>
      <xdr:rowOff>1604596</xdr:rowOff>
    </xdr:to>
    <xdr:graphicFrame macro="">
      <xdr:nvGraphicFramePr>
        <xdr:cNvPr id="12" name="Gráfico 11">
          <a:extLst>
            <a:ext uri="{FF2B5EF4-FFF2-40B4-BE49-F238E27FC236}">
              <a16:creationId xmlns:a16="http://schemas.microsoft.com/office/drawing/2014/main" xmlns=""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1697936</xdr:colOff>
      <xdr:row>1</xdr:row>
      <xdr:rowOff>222621</xdr:rowOff>
    </xdr:from>
    <xdr:to>
      <xdr:col>3</xdr:col>
      <xdr:colOff>908743</xdr:colOff>
      <xdr:row>4</xdr:row>
      <xdr:rowOff>323942</xdr:rowOff>
    </xdr:to>
    <xdr:pic>
      <xdr:nvPicPr>
        <xdr:cNvPr id="9"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92338" y="471099"/>
          <a:ext cx="2420318" cy="1550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1086825</xdr:colOff>
      <xdr:row>82</xdr:row>
      <xdr:rowOff>1430582</xdr:rowOff>
    </xdr:from>
    <xdr:to>
      <xdr:col>17</xdr:col>
      <xdr:colOff>259750</xdr:colOff>
      <xdr:row>87</xdr:row>
      <xdr:rowOff>1028944</xdr:rowOff>
    </xdr:to>
    <xdr:graphicFrame macro="">
      <xdr:nvGraphicFramePr>
        <xdr:cNvPr id="15" name="Gráfico 14">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1057516</xdr:colOff>
      <xdr:row>95</xdr:row>
      <xdr:rowOff>1289538</xdr:rowOff>
    </xdr:from>
    <xdr:to>
      <xdr:col>17</xdr:col>
      <xdr:colOff>73269</xdr:colOff>
      <xdr:row>98</xdr:row>
      <xdr:rowOff>1734039</xdr:rowOff>
    </xdr:to>
    <xdr:graphicFrame macro="">
      <xdr:nvGraphicFramePr>
        <xdr:cNvPr id="17" name="Gráfico 16">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1239471</xdr:colOff>
      <xdr:row>102</xdr:row>
      <xdr:rowOff>307731</xdr:rowOff>
    </xdr:from>
    <xdr:to>
      <xdr:col>17</xdr:col>
      <xdr:colOff>329712</xdr:colOff>
      <xdr:row>104</xdr:row>
      <xdr:rowOff>1450731</xdr:rowOff>
    </xdr:to>
    <xdr:graphicFrame macro="">
      <xdr:nvGraphicFramePr>
        <xdr:cNvPr id="18" name="Gráfico 17">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1199661</xdr:colOff>
      <xdr:row>105</xdr:row>
      <xdr:rowOff>525097</xdr:rowOff>
    </xdr:from>
    <xdr:to>
      <xdr:col>17</xdr:col>
      <xdr:colOff>292344</xdr:colOff>
      <xdr:row>106</xdr:row>
      <xdr:rowOff>2334847</xdr:rowOff>
    </xdr:to>
    <xdr:graphicFrame macro="">
      <xdr:nvGraphicFramePr>
        <xdr:cNvPr id="20" name="Gráfico 19">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1306634</xdr:colOff>
      <xdr:row>107</xdr:row>
      <xdr:rowOff>372564</xdr:rowOff>
    </xdr:from>
    <xdr:to>
      <xdr:col>17</xdr:col>
      <xdr:colOff>474784</xdr:colOff>
      <xdr:row>107</xdr:row>
      <xdr:rowOff>4139712</xdr:rowOff>
    </xdr:to>
    <xdr:graphicFrame macro="">
      <xdr:nvGraphicFramePr>
        <xdr:cNvPr id="21" name="Gráfico 20">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873980</xdr:colOff>
      <xdr:row>15</xdr:row>
      <xdr:rowOff>259495</xdr:rowOff>
    </xdr:from>
    <xdr:to>
      <xdr:col>17</xdr:col>
      <xdr:colOff>110455</xdr:colOff>
      <xdr:row>16</xdr:row>
      <xdr:rowOff>2442307</xdr:rowOff>
    </xdr:to>
    <xdr:graphicFrame macro="">
      <xdr:nvGraphicFramePr>
        <xdr:cNvPr id="23" name="Gráfico 22">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314280</xdr:colOff>
      <xdr:row>77</xdr:row>
      <xdr:rowOff>1466480</xdr:rowOff>
    </xdr:from>
    <xdr:to>
      <xdr:col>13</xdr:col>
      <xdr:colOff>149758</xdr:colOff>
      <xdr:row>77</xdr:row>
      <xdr:rowOff>2029904</xdr:rowOff>
    </xdr:to>
    <mc:AlternateContent xmlns:mc="http://schemas.openxmlformats.org/markup-compatibility/2006" xmlns:a14="http://schemas.microsoft.com/office/drawing/2010/main">
      <mc:Choice Requires="a14">
        <xdr:sp macro="" textlink="">
          <xdr:nvSpPr>
            <xdr:cNvPr id="24" name="CuadroTexto 7">
              <a:extLst>
                <a:ext uri="{FF2B5EF4-FFF2-40B4-BE49-F238E27FC236}">
                  <a16:creationId xmlns:a16="http://schemas.microsoft.com/office/drawing/2014/main" xmlns="" id="{5BDD30AA-1E71-5549-8B64-F9D8D8999599}"/>
                </a:ext>
              </a:extLst>
            </xdr:cNvPr>
            <xdr:cNvSpPr txBox="1"/>
          </xdr:nvSpPr>
          <xdr:spPr>
            <a:xfrm>
              <a:off x="33568954" y="144983382"/>
              <a:ext cx="6772163" cy="563424"/>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14:m>
                <m:oMathPara xmlns:m="http://schemas.openxmlformats.org/officeDocument/2006/math">
                  <m:oMathParaPr>
                    <m:jc m:val="left"/>
                  </m:oMathParaPr>
                  <m:oMath xmlns:m="http://schemas.openxmlformats.org/officeDocument/2006/math">
                    <m:r>
                      <a:rPr lang="es-CO" sz="1200" b="1" i="1" kern="1200">
                        <a:solidFill>
                          <a:schemeClr val="tx1"/>
                        </a:solidFill>
                        <a:latin typeface="Cambria Math" panose="02040503050406030204" pitchFamily="18" charset="0"/>
                        <a:ea typeface="+mn-ea"/>
                        <a:cs typeface="+mn-cs"/>
                      </a:rPr>
                      <m:t>𝑬𝒇𝒆𝒄𝒕𝒊𝒗𝒊𝒅𝒂𝒅</m:t>
                    </m:r>
                    <m:r>
                      <a:rPr lang="es-CO" sz="1200" b="1" i="1" kern="1200">
                        <a:solidFill>
                          <a:schemeClr val="tx1"/>
                        </a:solidFill>
                        <a:latin typeface="Cambria Math" panose="02040503050406030204" pitchFamily="18" charset="0"/>
                        <a:ea typeface="+mn-ea"/>
                        <a:cs typeface="+mn-cs"/>
                      </a:rPr>
                      <m:t> </m:t>
                    </m:r>
                    <m:r>
                      <a:rPr lang="es-CO" sz="1200" b="1" i="1" kern="1200">
                        <a:solidFill>
                          <a:schemeClr val="tx1"/>
                        </a:solidFill>
                        <a:latin typeface="Cambria Math" panose="02040503050406030204" pitchFamily="18" charset="0"/>
                        <a:ea typeface="+mn-ea"/>
                        <a:cs typeface="+mn-cs"/>
                      </a:rPr>
                      <m:t>𝒆𝒏</m:t>
                    </m:r>
                    <m:r>
                      <a:rPr lang="es-CO" sz="1200" b="1" i="1" kern="1200">
                        <a:solidFill>
                          <a:schemeClr val="tx1"/>
                        </a:solidFill>
                        <a:latin typeface="Cambria Math" panose="02040503050406030204" pitchFamily="18" charset="0"/>
                        <a:ea typeface="+mn-ea"/>
                        <a:cs typeface="+mn-cs"/>
                      </a:rPr>
                      <m:t> </m:t>
                    </m:r>
                    <m:r>
                      <a:rPr lang="es-CO" sz="1200" b="1" i="1" kern="1200">
                        <a:solidFill>
                          <a:schemeClr val="tx1"/>
                        </a:solidFill>
                        <a:latin typeface="Cambria Math" panose="02040503050406030204" pitchFamily="18" charset="0"/>
                        <a:ea typeface="+mn-ea"/>
                        <a:cs typeface="+mn-cs"/>
                      </a:rPr>
                      <m:t>𝒍𝒂</m:t>
                    </m:r>
                    <m:r>
                      <a:rPr lang="es-CO" sz="1200" b="1" i="1" kern="1200">
                        <a:solidFill>
                          <a:schemeClr val="tx1"/>
                        </a:solidFill>
                        <a:latin typeface="Cambria Math" panose="02040503050406030204" pitchFamily="18" charset="0"/>
                        <a:ea typeface="+mn-ea"/>
                        <a:cs typeface="+mn-cs"/>
                      </a:rPr>
                      <m:t> </m:t>
                    </m:r>
                    <m:r>
                      <a:rPr lang="es-CO" sz="1200" b="1" i="1" kern="1200">
                        <a:solidFill>
                          <a:schemeClr val="tx1"/>
                        </a:solidFill>
                        <a:latin typeface="Cambria Math" panose="02040503050406030204" pitchFamily="18" charset="0"/>
                        <a:ea typeface="+mn-ea"/>
                        <a:cs typeface="+mn-cs"/>
                      </a:rPr>
                      <m:t>𝒑𝒍𝒂𝒏𝒊𝒇𝒊𝒄𝒂𝒄𝒊</m:t>
                    </m:r>
                    <m:r>
                      <m:rPr>
                        <m:sty m:val="p"/>
                      </m:rPr>
                      <a:rPr lang="es-CO" sz="1200" b="1" i="1" kern="1200">
                        <a:solidFill>
                          <a:schemeClr val="tx1"/>
                        </a:solidFill>
                        <a:latin typeface="Cambria Math" panose="02040503050406030204" pitchFamily="18" charset="0"/>
                        <a:ea typeface="+mn-ea"/>
                        <a:cs typeface="+mn-cs"/>
                      </a:rPr>
                      <m:t>o</m:t>
                    </m:r>
                    <m:r>
                      <a:rPr lang="es-CO" sz="1200" b="1" i="1" kern="1200">
                        <a:solidFill>
                          <a:schemeClr val="tx1"/>
                        </a:solidFill>
                        <a:latin typeface="Cambria Math" panose="02040503050406030204" pitchFamily="18" charset="0"/>
                        <a:ea typeface="+mn-ea"/>
                        <a:cs typeface="+mn-cs"/>
                      </a:rPr>
                      <m:t>𝒏</m:t>
                    </m:r>
                    <m:r>
                      <a:rPr lang="es-CO" sz="1200" b="1" i="1" kern="1200">
                        <a:solidFill>
                          <a:schemeClr val="tx1"/>
                        </a:solidFill>
                        <a:latin typeface="Cambria Math" panose="02040503050406030204" pitchFamily="18" charset="0"/>
                        <a:ea typeface="+mn-ea"/>
                        <a:cs typeface="+mn-cs"/>
                      </a:rPr>
                      <m:t>=</m:t>
                    </m:r>
                    <m:f>
                      <m:fPr>
                        <m:ctrlPr>
                          <a:rPr lang="es-CO" sz="1200" b="0" i="1" kern="1200">
                            <a:solidFill>
                              <a:schemeClr val="tx1"/>
                            </a:solidFill>
                            <a:latin typeface="Cambria Math" panose="02040503050406030204" pitchFamily="18" charset="0"/>
                            <a:ea typeface="+mn-ea"/>
                            <a:cs typeface="+mn-cs"/>
                          </a:rPr>
                        </m:ctrlPr>
                      </m:fPr>
                      <m:num>
                        <m:r>
                          <a:rPr lang="es-CO" sz="1200" b="0" i="1" kern="1200">
                            <a:solidFill>
                              <a:schemeClr val="tx1"/>
                            </a:solidFill>
                            <a:latin typeface="Cambria Math" panose="02040503050406030204" pitchFamily="18" charset="0"/>
                            <a:ea typeface="+mn-ea"/>
                            <a:cs typeface="+mn-cs"/>
                          </a:rPr>
                          <m:t>𝑈𝑛𝑖𝑑𝑎𝑑𝑑𝑒𝑠</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𝑃𝑟𝑜𝑑𝑢𝑐𝑖𝑑𝑎𝑠</m:t>
                        </m:r>
                      </m:num>
                      <m:den>
                        <m:r>
                          <a:rPr lang="es-CO" sz="1200" b="0" i="1" kern="1200">
                            <a:solidFill>
                              <a:schemeClr val="tx1"/>
                            </a:solidFill>
                            <a:latin typeface="Cambria Math" panose="02040503050406030204" pitchFamily="18" charset="0"/>
                            <a:ea typeface="+mn-ea"/>
                            <a:cs typeface="+mn-cs"/>
                          </a:rPr>
                          <m:t>𝑈𝑛𝑖𝑑𝑎𝑑𝑒𝑠</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𝑝𝑙𝑎𝑛𝑖𝑓𝑖𝑐𝑎𝑑𝑎𝑠</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𝑑𝑒</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𝑎𝑐𝑢𝑒𝑟𝑑𝑜</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𝑎</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𝑐𝑎𝑝𝑎𝑐𝑖𝑑𝑎𝑑</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𝑡𝑒</m:t>
                        </m:r>
                        <m:r>
                          <m:rPr>
                            <m:sty m:val="p"/>
                          </m:rPr>
                          <a:rPr lang="es-CO" sz="1200" b="0" i="1" kern="1200">
                            <a:solidFill>
                              <a:schemeClr val="tx1"/>
                            </a:solidFill>
                            <a:latin typeface="Cambria Math" panose="02040503050406030204" pitchFamily="18" charset="0"/>
                            <a:ea typeface="+mn-ea"/>
                            <a:cs typeface="+mn-cs"/>
                          </a:rPr>
                          <m:t>o</m:t>
                        </m:r>
                        <m:r>
                          <a:rPr lang="es-CO" sz="1200" b="0" i="1" kern="1200">
                            <a:solidFill>
                              <a:schemeClr val="tx1"/>
                            </a:solidFill>
                            <a:latin typeface="Cambria Math" panose="02040503050406030204" pitchFamily="18" charset="0"/>
                            <a:ea typeface="+mn-ea"/>
                            <a:cs typeface="+mn-cs"/>
                          </a:rPr>
                          <m:t>𝑟𝑖𝑐𝑎</m:t>
                        </m:r>
                        <m:r>
                          <a:rPr lang="es-CO" sz="1200" b="0" i="1" kern="1200">
                            <a:solidFill>
                              <a:schemeClr val="tx1"/>
                            </a:solidFill>
                            <a:latin typeface="Cambria Math" panose="02040503050406030204" pitchFamily="18" charset="0"/>
                            <a:ea typeface="+mn-ea"/>
                            <a:cs typeface="+mn-cs"/>
                          </a:rPr>
                          <m:t> </m:t>
                        </m:r>
                        <m:r>
                          <a:rPr lang="es-CO" sz="1200" b="0" i="1" kern="1200">
                            <a:solidFill>
                              <a:schemeClr val="tx1"/>
                            </a:solidFill>
                            <a:latin typeface="Cambria Math" panose="02040503050406030204" pitchFamily="18" charset="0"/>
                            <a:ea typeface="+mn-ea"/>
                            <a:cs typeface="+mn-cs"/>
                          </a:rPr>
                          <m:t>𝑝𝑟𝑜𝑝𝑢𝑒𝑠𝑡𝑎</m:t>
                        </m:r>
                      </m:den>
                    </m:f>
                    <m:r>
                      <a:rPr lang="es-CO" sz="1200" b="0" i="1" kern="1200">
                        <a:solidFill>
                          <a:schemeClr val="tx1"/>
                        </a:solidFill>
                        <a:latin typeface="Cambria Math" panose="02040503050406030204" pitchFamily="18" charset="0"/>
                        <a:ea typeface="+mn-ea"/>
                        <a:cs typeface="+mn-cs"/>
                      </a:rPr>
                      <m:t>∗</m:t>
                    </m:r>
                    <m:r>
                      <a:rPr lang="es-CO" sz="1200" b="1" i="1" kern="1200">
                        <a:solidFill>
                          <a:schemeClr val="tx1"/>
                        </a:solidFill>
                        <a:latin typeface="Cambria Math" panose="02040503050406030204" pitchFamily="18" charset="0"/>
                        <a:ea typeface="+mn-ea"/>
                        <a:cs typeface="+mn-cs"/>
                      </a:rPr>
                      <m:t>100%</m:t>
                    </m:r>
                  </m:oMath>
                </m:oMathPara>
              </a14:m>
              <a:endParaRPr lang="es-CO" sz="1200" b="1" i="1" kern="1200">
                <a:solidFill>
                  <a:schemeClr val="tx1"/>
                </a:solidFill>
                <a:latin typeface="Cambria Math" panose="02040503050406030204" pitchFamily="18" charset="0"/>
                <a:ea typeface="+mn-ea"/>
                <a:cs typeface="+mn-cs"/>
              </a:endParaRPr>
            </a:p>
          </xdr:txBody>
        </xdr:sp>
      </mc:Choice>
      <mc:Fallback xmlns="">
        <xdr:sp macro="" textlink="">
          <xdr:nvSpPr>
            <xdr:cNvPr id="24" name="CuadroTexto 7">
              <a:extLst>
                <a:ext uri="{FF2B5EF4-FFF2-40B4-BE49-F238E27FC236}">
                  <a16:creationId xmlns="" xmlns:a16="http://schemas.microsoft.com/office/drawing/2014/main" xmlns:a14="http://schemas.microsoft.com/office/drawing/2010/main" id="{5BDD30AA-1E71-5549-8B64-F9D8D8999599}"/>
                </a:ext>
              </a:extLst>
            </xdr:cNvPr>
            <xdr:cNvSpPr txBox="1"/>
          </xdr:nvSpPr>
          <xdr:spPr>
            <a:xfrm>
              <a:off x="33568954" y="144983382"/>
              <a:ext cx="6772163" cy="563424"/>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1200" b="1" i="0" kern="1200">
                  <a:solidFill>
                    <a:schemeClr val="tx1"/>
                  </a:solidFill>
                  <a:latin typeface="Cambria Math" panose="02040503050406030204" pitchFamily="18" charset="0"/>
                  <a:ea typeface="+mn-ea"/>
                  <a:cs typeface="+mn-cs"/>
                </a:rPr>
                <a:t>𝑬𝒇𝒆𝒄𝒕𝒊𝒗𝒊𝒅𝒂𝒅 𝒆𝒏 𝒍𝒂 𝒑𝒍𝒂𝒏𝒊𝒇𝒊𝒄𝒂𝒄𝒊o𝒏=</a:t>
              </a:r>
              <a:r>
                <a:rPr lang="es-CO" sz="1200" b="0" i="0" kern="1200">
                  <a:solidFill>
                    <a:schemeClr val="tx1"/>
                  </a:solidFill>
                  <a:latin typeface="Cambria Math" panose="02040503050406030204" pitchFamily="18" charset="0"/>
                  <a:ea typeface="+mn-ea"/>
                  <a:cs typeface="+mn-cs"/>
                </a:rPr>
                <a:t>(𝑈𝑛𝑖𝑑𝑎𝑑𝑑𝑒𝑠 𝑃𝑟𝑜𝑑𝑢𝑐𝑖𝑑𝑎𝑠)/(𝑈𝑛𝑖𝑑𝑎𝑑𝑒𝑠 𝑝𝑙𝑎𝑛𝑖𝑓𝑖𝑐𝑎𝑑𝑎𝑠 𝑑𝑒 𝑎𝑐𝑢𝑒𝑟𝑑𝑜 𝑎 𝑐𝑎𝑝𝑎𝑐𝑖𝑑𝑎𝑑 𝑡𝑒o𝑟𝑖𝑐𝑎 𝑝𝑟𝑜𝑝𝑢𝑒𝑠𝑡𝑎)∗</a:t>
              </a:r>
              <a:r>
                <a:rPr lang="es-CO" sz="1200" b="1" i="0" kern="1200">
                  <a:solidFill>
                    <a:schemeClr val="tx1"/>
                  </a:solidFill>
                  <a:latin typeface="Cambria Math" panose="02040503050406030204" pitchFamily="18" charset="0"/>
                  <a:ea typeface="+mn-ea"/>
                  <a:cs typeface="+mn-cs"/>
                </a:rPr>
                <a:t>100%</a:t>
              </a:r>
              <a:endParaRPr lang="es-CO" sz="1200" b="1" i="1" kern="1200">
                <a:solidFill>
                  <a:schemeClr val="tx1"/>
                </a:solidFill>
                <a:latin typeface="Cambria Math" panose="02040503050406030204" pitchFamily="18" charset="0"/>
                <a:ea typeface="+mn-ea"/>
                <a:cs typeface="+mn-cs"/>
              </a:endParaRPr>
            </a:p>
          </xdr:txBody>
        </xdr:sp>
      </mc:Fallback>
    </mc:AlternateContent>
    <xdr:clientData/>
  </xdr:twoCellAnchor>
  <xdr:twoCellAnchor>
    <xdr:from>
      <xdr:col>11</xdr:col>
      <xdr:colOff>4331428</xdr:colOff>
      <xdr:row>78</xdr:row>
      <xdr:rowOff>1291962</xdr:rowOff>
    </xdr:from>
    <xdr:to>
      <xdr:col>12</xdr:col>
      <xdr:colOff>6794876</xdr:colOff>
      <xdr:row>78</xdr:row>
      <xdr:rowOff>2394572</xdr:rowOff>
    </xdr:to>
    <mc:AlternateContent xmlns:mc="http://schemas.openxmlformats.org/markup-compatibility/2006" xmlns:a14="http://schemas.microsoft.com/office/drawing/2010/main">
      <mc:Choice Requires="a14">
        <xdr:sp macro="" textlink="">
          <xdr:nvSpPr>
            <xdr:cNvPr id="25" name="CuadroTexto 7">
              <a:extLst>
                <a:ext uri="{FF2B5EF4-FFF2-40B4-BE49-F238E27FC236}">
                  <a16:creationId xmlns:a16="http://schemas.microsoft.com/office/drawing/2014/main" xmlns="" id="{ADF507DB-E53E-FA4B-B638-2AFC8C44AECB}"/>
                </a:ext>
              </a:extLst>
            </xdr:cNvPr>
            <xdr:cNvSpPr txBox="1"/>
          </xdr:nvSpPr>
          <xdr:spPr>
            <a:xfrm>
              <a:off x="33237732" y="147314353"/>
              <a:ext cx="6811818" cy="1102610"/>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14:m>
                <m:oMathPara xmlns:m="http://schemas.openxmlformats.org/officeDocument/2006/math">
                  <m:oMathParaPr>
                    <m:jc m:val="left"/>
                  </m:oMathParaPr>
                  <m:oMath xmlns:m="http://schemas.openxmlformats.org/officeDocument/2006/math">
                    <m:r>
                      <a:rPr lang="es-CO" sz="1400" b="1" i="1" kern="1200">
                        <a:solidFill>
                          <a:schemeClr val="tx1"/>
                        </a:solidFill>
                        <a:latin typeface="Cambria Math" panose="02040503050406030204" pitchFamily="18" charset="0"/>
                        <a:ea typeface="+mn-ea"/>
                        <a:cs typeface="+mn-cs"/>
                      </a:rPr>
                      <m:t>𝑷𝒓𝒐𝒅𝒖𝒄𝒕𝒊𝒗𝒊𝒅𝒂𝒅</m:t>
                    </m:r>
                    <m:r>
                      <a:rPr lang="es-CO" sz="1400" b="1" i="1" kern="1200">
                        <a:solidFill>
                          <a:schemeClr val="tx1"/>
                        </a:solidFill>
                        <a:latin typeface="Cambria Math" panose="02040503050406030204" pitchFamily="18" charset="0"/>
                        <a:ea typeface="+mn-ea"/>
                        <a:cs typeface="+mn-cs"/>
                      </a:rPr>
                      <m:t> </m:t>
                    </m:r>
                    <m:r>
                      <a:rPr lang="es-CO" sz="1400" b="1" i="1" kern="1200">
                        <a:solidFill>
                          <a:schemeClr val="tx1"/>
                        </a:solidFill>
                        <a:latin typeface="Cambria Math" panose="02040503050406030204" pitchFamily="18" charset="0"/>
                        <a:ea typeface="+mn-ea"/>
                        <a:cs typeface="+mn-cs"/>
                      </a:rPr>
                      <m:t>𝒅𝒆</m:t>
                    </m:r>
                    <m:r>
                      <a:rPr lang="es-CO" sz="1400" b="1" i="1" kern="1200">
                        <a:solidFill>
                          <a:schemeClr val="tx1"/>
                        </a:solidFill>
                        <a:latin typeface="Cambria Math" panose="02040503050406030204" pitchFamily="18" charset="0"/>
                        <a:ea typeface="+mn-ea"/>
                        <a:cs typeface="+mn-cs"/>
                      </a:rPr>
                      <m:t> </m:t>
                    </m:r>
                    <m:r>
                      <a:rPr lang="es-CO" sz="1400" b="1" i="1" kern="1200">
                        <a:solidFill>
                          <a:schemeClr val="tx1"/>
                        </a:solidFill>
                        <a:latin typeface="Cambria Math" panose="02040503050406030204" pitchFamily="18" charset="0"/>
                        <a:ea typeface="+mn-ea"/>
                        <a:cs typeface="+mn-cs"/>
                      </a:rPr>
                      <m:t>𝒑𝒍𝒂𝒏𝒕𝒂</m:t>
                    </m:r>
                    <m:r>
                      <a:rPr lang="es-CO" sz="1400" b="1" i="1" kern="1200">
                        <a:solidFill>
                          <a:schemeClr val="tx1"/>
                        </a:solidFill>
                        <a:latin typeface="Cambria Math" panose="02040503050406030204" pitchFamily="18" charset="0"/>
                        <a:ea typeface="+mn-ea"/>
                        <a:cs typeface="+mn-cs"/>
                      </a:rPr>
                      <m:t>=</m:t>
                    </m:r>
                    <m:f>
                      <m:fPr>
                        <m:ctrlPr>
                          <a:rPr lang="es-CO" sz="1400" b="1" i="1" kern="1200">
                            <a:solidFill>
                              <a:schemeClr val="tx1"/>
                            </a:solidFill>
                            <a:latin typeface="Cambria Math" panose="02040503050406030204" pitchFamily="18" charset="0"/>
                            <a:ea typeface="+mn-ea"/>
                            <a:cs typeface="+mn-cs"/>
                          </a:rPr>
                        </m:ctrlPr>
                      </m:fPr>
                      <m:num>
                        <m:r>
                          <a:rPr lang="es-CO" sz="1400" b="1" i="1" kern="1200">
                            <a:solidFill>
                              <a:schemeClr val="tx1"/>
                            </a:solidFill>
                            <a:latin typeface="Cambria Math" panose="02040503050406030204" pitchFamily="18" charset="0"/>
                            <a:ea typeface="+mn-ea"/>
                            <a:cs typeface="+mn-cs"/>
                          </a:rPr>
                          <m:t>𝑇𝑖𝑒𝑚𝑝𝑜</m:t>
                        </m:r>
                        <m:r>
                          <a:rPr lang="es-CO" sz="1400" b="1" i="1" kern="1200">
                            <a:solidFill>
                              <a:schemeClr val="tx1"/>
                            </a:solidFill>
                            <a:latin typeface="Cambria Math" panose="02040503050406030204" pitchFamily="18" charset="0"/>
                            <a:ea typeface="+mn-ea"/>
                            <a:cs typeface="+mn-cs"/>
                          </a:rPr>
                          <m:t> </m:t>
                        </m:r>
                        <m:r>
                          <a:rPr lang="es-CO" sz="1400" b="1" i="1" kern="1200">
                            <a:solidFill>
                              <a:schemeClr val="tx1"/>
                            </a:solidFill>
                            <a:latin typeface="Cambria Math" panose="02040503050406030204" pitchFamily="18" charset="0"/>
                            <a:ea typeface="+mn-ea"/>
                            <a:cs typeface="+mn-cs"/>
                          </a:rPr>
                          <m:t>𝑅𝑒𝑎𝑙</m:t>
                        </m:r>
                        <m:r>
                          <a:rPr lang="es-CO" sz="1400" b="1" i="1" kern="1200">
                            <a:solidFill>
                              <a:schemeClr val="tx1"/>
                            </a:solidFill>
                            <a:latin typeface="Cambria Math" panose="02040503050406030204" pitchFamily="18" charset="0"/>
                            <a:ea typeface="+mn-ea"/>
                            <a:cs typeface="+mn-cs"/>
                          </a:rPr>
                          <m:t> </m:t>
                        </m:r>
                      </m:num>
                      <m:den>
                        <m:r>
                          <a:rPr lang="es-CO" sz="1400" b="1" i="1" kern="1200">
                            <a:solidFill>
                              <a:schemeClr val="tx1"/>
                            </a:solidFill>
                            <a:latin typeface="Cambria Math" panose="02040503050406030204" pitchFamily="18" charset="0"/>
                            <a:ea typeface="+mn-ea"/>
                            <a:cs typeface="+mn-cs"/>
                          </a:rPr>
                          <m:t>𝑇𝑖𝑒𝑚𝑝𝑜</m:t>
                        </m:r>
                        <m:r>
                          <a:rPr lang="es-CO" sz="1400" b="1" i="1" kern="1200">
                            <a:solidFill>
                              <a:schemeClr val="tx1"/>
                            </a:solidFill>
                            <a:latin typeface="Cambria Math" panose="02040503050406030204" pitchFamily="18" charset="0"/>
                            <a:ea typeface="+mn-ea"/>
                            <a:cs typeface="+mn-cs"/>
                          </a:rPr>
                          <m:t> </m:t>
                        </m:r>
                        <m:r>
                          <a:rPr lang="es-CO" sz="1400" b="1" i="1" kern="1200">
                            <a:solidFill>
                              <a:schemeClr val="tx1"/>
                            </a:solidFill>
                            <a:latin typeface="Cambria Math" panose="02040503050406030204" pitchFamily="18" charset="0"/>
                            <a:ea typeface="+mn-ea"/>
                            <a:cs typeface="+mn-cs"/>
                          </a:rPr>
                          <m:t>𝐷𝑖𝑠𝑝𝑜𝑛𝑖𝑏𝑙𝑒</m:t>
                        </m:r>
                      </m:den>
                    </m:f>
                    <m:r>
                      <a:rPr lang="es-CO" sz="1400" b="1" i="1" kern="1200">
                        <a:solidFill>
                          <a:schemeClr val="tx1"/>
                        </a:solidFill>
                        <a:latin typeface="Cambria Math" panose="02040503050406030204" pitchFamily="18" charset="0"/>
                        <a:ea typeface="+mn-ea"/>
                        <a:cs typeface="+mn-cs"/>
                      </a:rPr>
                      <m:t>∗</m:t>
                    </m:r>
                    <m:f>
                      <m:fPr>
                        <m:ctrlPr>
                          <a:rPr lang="es-CO" sz="1400" b="0" i="1" kern="1200">
                            <a:solidFill>
                              <a:schemeClr val="tx1"/>
                            </a:solidFill>
                            <a:latin typeface="Cambria Math" panose="02040503050406030204" pitchFamily="18" charset="0"/>
                            <a:ea typeface="+mn-ea"/>
                            <a:cs typeface="+mn-cs"/>
                          </a:rPr>
                        </m:ctrlPr>
                      </m:fPr>
                      <m:num>
                        <m:r>
                          <a:rPr lang="es-CO" sz="1400" b="0" i="1" kern="1200">
                            <a:solidFill>
                              <a:schemeClr val="tx1"/>
                            </a:solidFill>
                            <a:latin typeface="Cambria Math" panose="02040503050406030204" pitchFamily="18" charset="0"/>
                            <a:ea typeface="+mn-ea"/>
                            <a:cs typeface="+mn-cs"/>
                          </a:rPr>
                          <m:t>𝑈𝑛𝑖𝑑𝑎𝑑𝑒𝑠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𝑃𝑟𝑜𝑑𝑢𝑐𝑖𝑑𝑎𝑠</m:t>
                        </m:r>
                      </m:num>
                      <m:den>
                        <m:r>
                          <a:rPr lang="es-CO" sz="1400" b="0" i="1" kern="1200">
                            <a:solidFill>
                              <a:schemeClr val="tx1"/>
                            </a:solidFill>
                            <a:latin typeface="Cambria Math" panose="02040503050406030204" pitchFamily="18" charset="0"/>
                            <a:ea typeface="+mn-ea"/>
                            <a:cs typeface="+mn-cs"/>
                          </a:rPr>
                          <m:t>𝑈𝑛𝑖𝑑𝑎𝑑𝑒𝑠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𝑃𝑙𝑎𝑛𝑖𝑓𝑖𝑐𝑎𝑑𝑎𝑠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𝑑𝑒</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𝑎𝑐𝑢𝑒𝑟𝑑𝑜</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𝑎</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𝑐𝑎𝑝𝑎𝑐𝑖𝑑𝑎𝑑</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𝑡</m:t>
                        </m:r>
                        <m:r>
                          <a:rPr lang="es-CO" sz="1400" b="0" i="1" kern="1200">
                            <a:solidFill>
                              <a:schemeClr val="tx1"/>
                            </a:solidFill>
                            <a:latin typeface="Cambria Math" panose="02040503050406030204" pitchFamily="18" charset="0"/>
                            <a:ea typeface="+mn-ea"/>
                            <a:cs typeface="+mn-cs"/>
                          </a:rPr>
                          <m:t>é</m:t>
                        </m:r>
                        <m:r>
                          <a:rPr lang="es-CO" sz="1400" b="0" i="1" kern="1200">
                            <a:solidFill>
                              <a:schemeClr val="tx1"/>
                            </a:solidFill>
                            <a:latin typeface="Cambria Math" panose="02040503050406030204" pitchFamily="18" charset="0"/>
                            <a:ea typeface="+mn-ea"/>
                            <a:cs typeface="+mn-cs"/>
                          </a:rPr>
                          <m:t>𝑜𝑟𝑖𝑐𝑎</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𝑝𝑟𝑜𝑝𝑢𝑒𝑠𝑡𝑎</m:t>
                        </m:r>
                      </m:den>
                    </m:f>
                    <m:r>
                      <a:rPr lang="es-CO" sz="1400" b="1" i="1" kern="1200">
                        <a:solidFill>
                          <a:schemeClr val="tx1"/>
                        </a:solidFill>
                        <a:latin typeface="Cambria Math" panose="02040503050406030204" pitchFamily="18" charset="0"/>
                        <a:ea typeface="+mn-ea"/>
                        <a:cs typeface="+mn-cs"/>
                      </a:rPr>
                      <m:t>∗100%</m:t>
                    </m:r>
                  </m:oMath>
                </m:oMathPara>
              </a14:m>
              <a:endParaRPr lang="es-CO" sz="1400" b="1" i="1" kern="1200">
                <a:solidFill>
                  <a:schemeClr val="tx1"/>
                </a:solidFill>
                <a:latin typeface="Cambria Math" panose="02040503050406030204" pitchFamily="18" charset="0"/>
                <a:ea typeface="+mn-ea"/>
                <a:cs typeface="+mn-cs"/>
              </a:endParaRPr>
            </a:p>
          </xdr:txBody>
        </xdr:sp>
      </mc:Choice>
      <mc:Fallback xmlns="">
        <xdr:sp macro="" textlink="">
          <xdr:nvSpPr>
            <xdr:cNvPr id="25" name="CuadroTexto 7">
              <a:extLst>
                <a:ext uri="{FF2B5EF4-FFF2-40B4-BE49-F238E27FC236}">
                  <a16:creationId xmlns="" xmlns:a16="http://schemas.microsoft.com/office/drawing/2014/main" xmlns:a14="http://schemas.microsoft.com/office/drawing/2010/main" id="{ADF507DB-E53E-FA4B-B638-2AFC8C44AECB}"/>
                </a:ext>
              </a:extLst>
            </xdr:cNvPr>
            <xdr:cNvSpPr txBox="1"/>
          </xdr:nvSpPr>
          <xdr:spPr>
            <a:xfrm>
              <a:off x="33237732" y="147314353"/>
              <a:ext cx="6811818" cy="1102610"/>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1400" b="1" i="0" kern="1200">
                  <a:solidFill>
                    <a:schemeClr val="tx1"/>
                  </a:solidFill>
                  <a:latin typeface="Cambria Math" panose="02040503050406030204" pitchFamily="18" charset="0"/>
                  <a:ea typeface="+mn-ea"/>
                  <a:cs typeface="+mn-cs"/>
                </a:rPr>
                <a:t>𝑷𝒓𝒐𝒅𝒖𝒄𝒕𝒊𝒗𝒊𝒅𝒂𝒅 𝒅𝒆 𝒑𝒍𝒂𝒏𝒕𝒂=(𝑇𝑖𝑒𝑚𝑝𝑜 𝑅𝑒𝑎𝑙 )/(𝑇𝑖𝑒𝑚𝑝𝑜 𝐷𝑖𝑠𝑝𝑜𝑛𝑖𝑏𝑙𝑒)∗</a:t>
              </a:r>
              <a:r>
                <a:rPr lang="es-CO" sz="1400" b="0" i="0" kern="1200">
                  <a:solidFill>
                    <a:schemeClr val="tx1"/>
                  </a:solidFill>
                  <a:latin typeface="Cambria Math" panose="02040503050406030204" pitchFamily="18" charset="0"/>
                  <a:ea typeface="+mn-ea"/>
                  <a:cs typeface="+mn-cs"/>
                </a:rPr>
                <a:t>(𝑈𝑛𝑖𝑑𝑎𝑑𝑒𝑠 𝑃𝑟𝑜𝑑𝑢𝑐𝑖𝑑𝑎𝑠)/(𝑈𝑛𝑖𝑑𝑎𝑑𝑒𝑠 𝑃𝑙𝑎𝑛𝑖𝑓𝑖𝑐𝑎𝑑𝑎𝑠 𝑑𝑒 𝑎𝑐𝑢𝑒𝑟𝑑𝑜 𝑎 𝑐𝑎𝑝𝑎𝑐𝑖𝑑𝑎𝑑 𝑡é𝑜𝑟𝑖𝑐𝑎 𝑝𝑟𝑜𝑝𝑢𝑒𝑠𝑡𝑎)</a:t>
              </a:r>
              <a:r>
                <a:rPr lang="es-CO" sz="1400" b="1" i="0" kern="1200">
                  <a:solidFill>
                    <a:schemeClr val="tx1"/>
                  </a:solidFill>
                  <a:latin typeface="Cambria Math" panose="02040503050406030204" pitchFamily="18" charset="0"/>
                  <a:ea typeface="+mn-ea"/>
                  <a:cs typeface="+mn-cs"/>
                </a:rPr>
                <a:t>∗100%</a:t>
              </a:r>
              <a:endParaRPr lang="es-CO" sz="1400" b="1" i="1" kern="1200">
                <a:solidFill>
                  <a:schemeClr val="tx1"/>
                </a:solidFill>
                <a:latin typeface="Cambria Math" panose="02040503050406030204" pitchFamily="18" charset="0"/>
                <a:ea typeface="+mn-ea"/>
                <a:cs typeface="+mn-cs"/>
              </a:endParaRPr>
            </a:p>
          </xdr:txBody>
        </xdr:sp>
      </mc:Fallback>
    </mc:AlternateContent>
    <xdr:clientData/>
  </xdr:twoCellAnchor>
  <xdr:twoCellAnchor>
    <xdr:from>
      <xdr:col>16</xdr:col>
      <xdr:colOff>1241230</xdr:colOff>
      <xdr:row>88</xdr:row>
      <xdr:rowOff>1706563</xdr:rowOff>
    </xdr:from>
    <xdr:to>
      <xdr:col>17</xdr:col>
      <xdr:colOff>404630</xdr:colOff>
      <xdr:row>91</xdr:row>
      <xdr:rowOff>2079625</xdr:rowOff>
    </xdr:to>
    <xdr:graphicFrame macro="">
      <xdr:nvGraphicFramePr>
        <xdr:cNvPr id="29" name="Gráfico 28">
          <a:extLst>
            <a:ext uri="{FF2B5EF4-FFF2-40B4-BE49-F238E27FC236}">
              <a16:creationId xmlns:a16="http://schemas.microsoft.com/office/drawing/2014/main" xmlns=""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103533</xdr:colOff>
      <xdr:row>80</xdr:row>
      <xdr:rowOff>1325218</xdr:rowOff>
    </xdr:from>
    <xdr:to>
      <xdr:col>13</xdr:col>
      <xdr:colOff>937131</xdr:colOff>
      <xdr:row>80</xdr:row>
      <xdr:rowOff>1773354</xdr:rowOff>
    </xdr:to>
    <mc:AlternateContent xmlns:mc="http://schemas.openxmlformats.org/markup-compatibility/2006" xmlns:a14="http://schemas.microsoft.com/office/drawing/2010/main">
      <mc:Choice Requires="a14">
        <xdr:sp macro="" textlink="">
          <xdr:nvSpPr>
            <xdr:cNvPr id="31" name="CuadroTexto 14">
              <a:extLst>
                <a:ext uri="{FF2B5EF4-FFF2-40B4-BE49-F238E27FC236}">
                  <a16:creationId xmlns="" xmlns:a16="http://schemas.microsoft.com/office/drawing/2014/main" id="{199B4839-4E76-A841-B067-958755BB6D6D}"/>
                </a:ext>
              </a:extLst>
            </xdr:cNvPr>
            <xdr:cNvSpPr txBox="1"/>
          </xdr:nvSpPr>
          <xdr:spPr>
            <a:xfrm>
              <a:off x="33358207" y="151861631"/>
              <a:ext cx="7770283" cy="448136"/>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left"/>
                  </m:oMathParaPr>
                  <m:oMath xmlns:m="http://schemas.openxmlformats.org/officeDocument/2006/math">
                    <m:r>
                      <a:rPr lang="es-CO" sz="1400" b="1" i="1">
                        <a:latin typeface="Cambria Math" panose="02040503050406030204" pitchFamily="18" charset="0"/>
                      </a:rPr>
                      <m:t>𝑫𝒊𝒔𝒑𝒐𝒏𝒊𝒃𝒊𝒍𝒊𝒅𝒂𝒅</m:t>
                    </m:r>
                    <m:r>
                      <a:rPr lang="es-CO" sz="1400" b="1" i="1">
                        <a:latin typeface="Cambria Math" panose="02040503050406030204" pitchFamily="18" charset="0"/>
                      </a:rPr>
                      <m:t> </m:t>
                    </m:r>
                    <m:r>
                      <a:rPr lang="es-CO" sz="1400" b="1" i="1">
                        <a:latin typeface="Cambria Math" panose="02040503050406030204" pitchFamily="18" charset="0"/>
                      </a:rPr>
                      <m:t>𝒅𝒆</m:t>
                    </m:r>
                    <m:r>
                      <a:rPr lang="es-CO" sz="1400" b="1" i="1">
                        <a:latin typeface="Cambria Math" panose="02040503050406030204" pitchFamily="18" charset="0"/>
                      </a:rPr>
                      <m:t> </m:t>
                    </m:r>
                    <m:r>
                      <a:rPr lang="es-CO" sz="1400" b="1" i="1">
                        <a:latin typeface="Cambria Math" panose="02040503050406030204" pitchFamily="18" charset="0"/>
                      </a:rPr>
                      <m:t>𝑷𝒍𝒂𝒏𝒕𝒂</m:t>
                    </m:r>
                    <m:r>
                      <a:rPr lang="es-CO" sz="1400" i="1">
                        <a:latin typeface="Cambria Math" panose="02040503050406030204" pitchFamily="18" charset="0"/>
                      </a:rPr>
                      <m:t>=</m:t>
                    </m:r>
                    <m:f>
                      <m:fPr>
                        <m:ctrlPr>
                          <a:rPr lang="es-CO" sz="1400" i="1">
                            <a:latin typeface="Cambria Math" panose="02040503050406030204" pitchFamily="18" charset="0"/>
                          </a:rPr>
                        </m:ctrlPr>
                      </m:fPr>
                      <m:num>
                        <m:r>
                          <a:rPr lang="es-CO" sz="1400" b="0" i="1">
                            <a:latin typeface="Cambria Math" panose="02040503050406030204" pitchFamily="18" charset="0"/>
                          </a:rPr>
                          <m:t>𝑇𝑖𝑒𝑚𝑝𝑜</m:t>
                        </m:r>
                        <m:r>
                          <a:rPr lang="es-CO" sz="1400" b="0" i="1">
                            <a:latin typeface="Cambria Math" panose="02040503050406030204" pitchFamily="18" charset="0"/>
                          </a:rPr>
                          <m:t> </m:t>
                        </m:r>
                        <m:r>
                          <a:rPr lang="es-CO" sz="1400" b="0" i="1">
                            <a:latin typeface="Cambria Math" panose="02040503050406030204" pitchFamily="18" charset="0"/>
                          </a:rPr>
                          <m:t>𝑑𝑒</m:t>
                        </m:r>
                        <m:r>
                          <a:rPr lang="es-CO" sz="1400" b="0" i="1">
                            <a:latin typeface="Cambria Math" panose="02040503050406030204" pitchFamily="18" charset="0"/>
                          </a:rPr>
                          <m:t> </m:t>
                        </m:r>
                        <m:r>
                          <a:rPr lang="es-CO" sz="1400" b="0" i="1">
                            <a:latin typeface="Cambria Math" panose="02040503050406030204" pitchFamily="18" charset="0"/>
                          </a:rPr>
                          <m:t>𝑊</m:t>
                        </m:r>
                        <m:r>
                          <a:rPr lang="es-CO" sz="1400" b="0" i="1">
                            <a:latin typeface="Cambria Math" panose="02040503050406030204" pitchFamily="18" charset="0"/>
                          </a:rPr>
                          <m:t> </m:t>
                        </m:r>
                        <m:r>
                          <a:rPr lang="es-CO" sz="1400" b="0" i="1">
                            <a:latin typeface="Cambria Math" panose="02040503050406030204" pitchFamily="18" charset="0"/>
                          </a:rPr>
                          <m:t>𝑝𝑟𝑜𝑔𝑟𝑎𝑚𝑎𝑑𝑜</m:t>
                        </m:r>
                        <m:r>
                          <a:rPr lang="es-CO" sz="1400" b="0" i="1">
                            <a:latin typeface="Cambria Math" panose="02040503050406030204" pitchFamily="18" charset="0"/>
                          </a:rPr>
                          <m:t> −</m:t>
                        </m:r>
                        <m:r>
                          <a:rPr lang="es-CO" sz="1400" b="0" i="1">
                            <a:latin typeface="Cambria Math" panose="02040503050406030204" pitchFamily="18" charset="0"/>
                          </a:rPr>
                          <m:t>𝑃𝑎𝑟𝑜𝑠</m:t>
                        </m:r>
                        <m:r>
                          <a:rPr lang="es-CO" sz="1400" b="0" i="1">
                            <a:latin typeface="Cambria Math" panose="02040503050406030204" pitchFamily="18" charset="0"/>
                          </a:rPr>
                          <m:t> (</m:t>
                        </m:r>
                        <m:r>
                          <a:rPr lang="es-CO" sz="1400" b="0" i="1">
                            <a:latin typeface="Cambria Math" panose="02040503050406030204" pitchFamily="18" charset="0"/>
                          </a:rPr>
                          <m:t>𝑝𝑟𝑜𝑔𝑟𝑎𝑚𝑎𝑑𝑜𝑠</m:t>
                        </m:r>
                        <m:r>
                          <a:rPr lang="es-CO" sz="1400" b="0" i="1">
                            <a:latin typeface="Cambria Math" panose="02040503050406030204" pitchFamily="18" charset="0"/>
                          </a:rPr>
                          <m:t> </m:t>
                        </m:r>
                        <m:r>
                          <a:rPr lang="es-CO" sz="1400" b="0" i="1">
                            <a:latin typeface="Cambria Math" panose="02040503050406030204" pitchFamily="18" charset="0"/>
                          </a:rPr>
                          <m:t>𝑦</m:t>
                        </m:r>
                        <m:r>
                          <a:rPr lang="es-CO" sz="1400" b="0" i="1">
                            <a:latin typeface="Cambria Math" panose="02040503050406030204" pitchFamily="18" charset="0"/>
                          </a:rPr>
                          <m:t> </m:t>
                        </m:r>
                        <m:r>
                          <a:rPr lang="es-CO" sz="1400" b="0" i="1">
                            <a:latin typeface="Cambria Math" panose="02040503050406030204" pitchFamily="18" charset="0"/>
                          </a:rPr>
                          <m:t>𝑛𝑜</m:t>
                        </m:r>
                        <m:r>
                          <a:rPr lang="es-CO" sz="1400" b="0" i="1">
                            <a:latin typeface="Cambria Math" panose="02040503050406030204" pitchFamily="18" charset="0"/>
                          </a:rPr>
                          <m:t> </m:t>
                        </m:r>
                        <m:r>
                          <a:rPr lang="es-CO" sz="1400" b="0" i="1">
                            <a:latin typeface="Cambria Math" panose="02040503050406030204" pitchFamily="18" charset="0"/>
                          </a:rPr>
                          <m:t>𝑝𝑟𝑜𝑔𝑟𝑎𝑚𝑎𝑑𝑜𝑠</m:t>
                        </m:r>
                        <m:r>
                          <a:rPr lang="es-CO" sz="1400" b="0" i="1">
                            <a:latin typeface="Cambria Math" panose="02040503050406030204" pitchFamily="18" charset="0"/>
                          </a:rPr>
                          <m:t>)</m:t>
                        </m:r>
                      </m:num>
                      <m:den>
                        <m:r>
                          <a:rPr lang="es-CO" sz="1400" b="0" i="1">
                            <a:latin typeface="Cambria Math" panose="02040503050406030204" pitchFamily="18" charset="0"/>
                          </a:rPr>
                          <m:t>𝑇𝑖𝑒𝑚𝑝𝑜</m:t>
                        </m:r>
                        <m:r>
                          <a:rPr lang="es-CO" sz="1400" b="0" i="1">
                            <a:latin typeface="Cambria Math" panose="02040503050406030204" pitchFamily="18" charset="0"/>
                          </a:rPr>
                          <m:t> </m:t>
                        </m:r>
                        <m:r>
                          <a:rPr lang="es-CO" sz="1400" b="0" i="1">
                            <a:latin typeface="Cambria Math" panose="02040503050406030204" pitchFamily="18" charset="0"/>
                          </a:rPr>
                          <m:t>𝑑𝑒</m:t>
                        </m:r>
                        <m:r>
                          <a:rPr lang="es-CO" sz="1400" b="0" i="1">
                            <a:latin typeface="Cambria Math" panose="02040503050406030204" pitchFamily="18" charset="0"/>
                          </a:rPr>
                          <m:t> </m:t>
                        </m:r>
                        <m:r>
                          <a:rPr lang="es-CO" sz="1400" b="0" i="1">
                            <a:latin typeface="Cambria Math" panose="02040503050406030204" pitchFamily="18" charset="0"/>
                          </a:rPr>
                          <m:t>𝑊</m:t>
                        </m:r>
                        <m:r>
                          <a:rPr lang="es-CO" sz="1400" b="0" i="1">
                            <a:latin typeface="Cambria Math" panose="02040503050406030204" pitchFamily="18" charset="0"/>
                          </a:rPr>
                          <m:t> </m:t>
                        </m:r>
                        <m:r>
                          <a:rPr lang="es-CO" sz="1400" b="0" i="1">
                            <a:latin typeface="Cambria Math" panose="02040503050406030204" pitchFamily="18" charset="0"/>
                          </a:rPr>
                          <m:t>𝑝𝑟𝑜𝑔𝑟𝑎𝑚𝑎𝑑𝑜</m:t>
                        </m:r>
                      </m:den>
                    </m:f>
                    <m:r>
                      <a:rPr lang="es-CO" sz="1400" b="0" i="1">
                        <a:latin typeface="Cambria Math" panose="02040503050406030204" pitchFamily="18" charset="0"/>
                      </a:rPr>
                      <m:t>∗100%</m:t>
                    </m:r>
                  </m:oMath>
                </m:oMathPara>
              </a14:m>
              <a:endParaRPr lang="es-CO" sz="1400"/>
            </a:p>
          </xdr:txBody>
        </xdr:sp>
      </mc:Choice>
      <mc:Fallback xmlns="">
        <xdr:sp macro="" textlink="">
          <xdr:nvSpPr>
            <xdr:cNvPr id="31" name="CuadroTexto 14">
              <a:extLst>
                <a:ext uri="{FF2B5EF4-FFF2-40B4-BE49-F238E27FC236}">
                  <a16:creationId xmlns:a16="http://schemas.microsoft.com/office/drawing/2014/main" xmlns="" xmlns:a14="http://schemas.microsoft.com/office/drawing/2010/main" id="{199B4839-4E76-A841-B067-958755BB6D6D}"/>
                </a:ext>
              </a:extLst>
            </xdr:cNvPr>
            <xdr:cNvSpPr txBox="1"/>
          </xdr:nvSpPr>
          <xdr:spPr>
            <a:xfrm>
              <a:off x="33358207" y="151861631"/>
              <a:ext cx="7770283" cy="448136"/>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s-CO" sz="1400" b="1" i="0">
                  <a:latin typeface="Cambria Math" panose="02040503050406030204" pitchFamily="18" charset="0"/>
                </a:rPr>
                <a:t>𝑫𝒊𝒔𝒑𝒐𝒏𝒊𝒃𝒊𝒍𝒊𝒅𝒂𝒅 𝒅𝒆 𝑷𝒍𝒂𝒏𝒕𝒂</a:t>
              </a:r>
              <a:r>
                <a:rPr lang="es-CO" sz="1400" i="0">
                  <a:latin typeface="Cambria Math" panose="02040503050406030204" pitchFamily="18" charset="0"/>
                </a:rPr>
                <a:t>=(</a:t>
              </a:r>
              <a:r>
                <a:rPr lang="es-CO" sz="1400" b="0" i="0">
                  <a:latin typeface="Cambria Math" panose="02040503050406030204" pitchFamily="18" charset="0"/>
                </a:rPr>
                <a:t>𝑇𝑖𝑒𝑚𝑝𝑜 𝑑𝑒 𝑊 𝑝𝑟𝑜𝑔𝑟𝑎𝑚𝑎𝑑𝑜 −𝑃𝑎𝑟𝑜𝑠 (𝑝𝑟𝑜𝑔𝑟𝑎𝑚𝑎𝑑𝑜𝑠 𝑦 𝑛𝑜 𝑝𝑟𝑜𝑔𝑟𝑎𝑚𝑎𝑑𝑜𝑠))/(𝑇𝑖𝑒𝑚𝑝𝑜 𝑑𝑒 𝑊 𝑝𝑟𝑜𝑔𝑟𝑎𝑚𝑎𝑑𝑜)∗100%</a:t>
              </a:r>
              <a:endParaRPr lang="es-CO" sz="1400"/>
            </a:p>
          </xdr:txBody>
        </xdr:sp>
      </mc:Fallback>
    </mc:AlternateContent>
    <xdr:clientData/>
  </xdr:twoCellAnchor>
  <xdr:twoCellAnchor>
    <xdr:from>
      <xdr:col>12</xdr:col>
      <xdr:colOff>103532</xdr:colOff>
      <xdr:row>81</xdr:row>
      <xdr:rowOff>1221684</xdr:rowOff>
    </xdr:from>
    <xdr:to>
      <xdr:col>13</xdr:col>
      <xdr:colOff>298077</xdr:colOff>
      <xdr:row>81</xdr:row>
      <xdr:rowOff>1666999</xdr:rowOff>
    </xdr:to>
    <mc:AlternateContent xmlns:mc="http://schemas.openxmlformats.org/markup-compatibility/2006" xmlns:a14="http://schemas.microsoft.com/office/drawing/2010/main">
      <mc:Choice Requires="a14">
        <xdr:sp macro="" textlink="">
          <xdr:nvSpPr>
            <xdr:cNvPr id="32" name="CuadroTexto 8">
              <a:extLst>
                <a:ext uri="{FF2B5EF4-FFF2-40B4-BE49-F238E27FC236}">
                  <a16:creationId xmlns="" xmlns:a16="http://schemas.microsoft.com/office/drawing/2014/main" id="{B06E0FA6-EC5A-CE4A-9FEB-46AECCB176E1}"/>
                </a:ext>
              </a:extLst>
            </xdr:cNvPr>
            <xdr:cNvSpPr txBox="1"/>
          </xdr:nvSpPr>
          <xdr:spPr>
            <a:xfrm>
              <a:off x="36298532" y="173508729"/>
              <a:ext cx="7121818" cy="445315"/>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left"/>
                  </m:oMathParaPr>
                  <m:oMath xmlns:m="http://schemas.openxmlformats.org/officeDocument/2006/math">
                    <m:r>
                      <a:rPr lang="es-CO" sz="1400" b="1" i="1" kern="1200">
                        <a:solidFill>
                          <a:schemeClr val="tx1"/>
                        </a:solidFill>
                        <a:effectLst/>
                        <a:latin typeface="Cambria Math" panose="02040503050406030204" pitchFamily="18" charset="0"/>
                        <a:ea typeface="+mn-ea"/>
                        <a:cs typeface="+mn-cs"/>
                      </a:rPr>
                      <m:t>𝑼𝒔𝒐</m:t>
                    </m:r>
                    <m:r>
                      <a:rPr lang="es-CO" sz="1400" b="1" i="1" kern="1200">
                        <a:solidFill>
                          <a:schemeClr val="tx1"/>
                        </a:solidFill>
                        <a:effectLst/>
                        <a:latin typeface="Cambria Math" panose="02040503050406030204" pitchFamily="18" charset="0"/>
                        <a:ea typeface="+mn-ea"/>
                        <a:cs typeface="+mn-cs"/>
                      </a:rPr>
                      <m:t> </m:t>
                    </m:r>
                    <m:r>
                      <a:rPr lang="es-CO" sz="1400" b="1" i="1" kern="1200">
                        <a:solidFill>
                          <a:schemeClr val="tx1"/>
                        </a:solidFill>
                        <a:effectLst/>
                        <a:latin typeface="Cambria Math" panose="02040503050406030204" pitchFamily="18" charset="0"/>
                        <a:ea typeface="+mn-ea"/>
                        <a:cs typeface="+mn-cs"/>
                      </a:rPr>
                      <m:t>𝒅𝒆</m:t>
                    </m:r>
                    <m:r>
                      <a:rPr lang="es-CO" sz="1400" b="1" i="1" kern="1200">
                        <a:solidFill>
                          <a:schemeClr val="tx1"/>
                        </a:solidFill>
                        <a:effectLst/>
                        <a:latin typeface="Cambria Math" panose="02040503050406030204" pitchFamily="18" charset="0"/>
                        <a:ea typeface="+mn-ea"/>
                        <a:cs typeface="+mn-cs"/>
                      </a:rPr>
                      <m:t> </m:t>
                    </m:r>
                    <m:r>
                      <a:rPr lang="es-CO" sz="1400" b="1" i="1" kern="1200">
                        <a:solidFill>
                          <a:schemeClr val="tx1"/>
                        </a:solidFill>
                        <a:effectLst/>
                        <a:latin typeface="Cambria Math" panose="02040503050406030204" pitchFamily="18" charset="0"/>
                        <a:ea typeface="+mn-ea"/>
                        <a:cs typeface="+mn-cs"/>
                      </a:rPr>
                      <m:t>𝒍𝒂</m:t>
                    </m:r>
                    <m:r>
                      <a:rPr lang="es-CO" sz="1400" b="1" i="1" kern="1200">
                        <a:solidFill>
                          <a:schemeClr val="tx1"/>
                        </a:solidFill>
                        <a:effectLst/>
                        <a:latin typeface="Cambria Math" panose="02040503050406030204" pitchFamily="18" charset="0"/>
                        <a:ea typeface="+mn-ea"/>
                        <a:cs typeface="+mn-cs"/>
                      </a:rPr>
                      <m:t>  </m:t>
                    </m:r>
                    <m:r>
                      <a:rPr lang="es-CO" sz="1400" b="1" i="1">
                        <a:latin typeface="Cambria Math" panose="02040503050406030204" pitchFamily="18" charset="0"/>
                      </a:rPr>
                      <m:t>𝑪𝒂𝒑𝒂𝒄𝒊𝒅𝒂𝒅</m:t>
                    </m:r>
                    <m:r>
                      <a:rPr lang="es-CO" sz="1400" b="1" i="1">
                        <a:latin typeface="Cambria Math" panose="02040503050406030204" pitchFamily="18" charset="0"/>
                      </a:rPr>
                      <m:t> </m:t>
                    </m:r>
                    <m:r>
                      <a:rPr lang="es-CO" sz="1400" b="1" i="1">
                        <a:latin typeface="Cambria Math" panose="02040503050406030204" pitchFamily="18" charset="0"/>
                      </a:rPr>
                      <m:t>𝒊𝒏𝒔𝒕𝒂𝒍𝒂𝒅𝒂</m:t>
                    </m:r>
                    <m:r>
                      <a:rPr lang="es-CO" sz="1400" b="1" i="1">
                        <a:latin typeface="Cambria Math" panose="02040503050406030204" pitchFamily="18" charset="0"/>
                      </a:rPr>
                      <m:t> </m:t>
                    </m:r>
                    <m:r>
                      <a:rPr lang="es-CO" sz="1400" i="1">
                        <a:latin typeface="Cambria Math" panose="02040503050406030204" pitchFamily="18" charset="0"/>
                      </a:rPr>
                      <m:t>=</m:t>
                    </m:r>
                    <m:f>
                      <m:fPr>
                        <m:ctrlPr>
                          <a:rPr lang="es-CO" sz="1400" i="1">
                            <a:latin typeface="Cambria Math" panose="02040503050406030204" pitchFamily="18" charset="0"/>
                          </a:rPr>
                        </m:ctrlPr>
                      </m:fPr>
                      <m:num>
                        <m:r>
                          <a:rPr lang="es-CO" sz="1400" b="0" i="1">
                            <a:latin typeface="Cambria Math" panose="02040503050406030204" pitchFamily="18" charset="0"/>
                          </a:rPr>
                          <m:t>𝑉𝑜𝑙𝑢𝑚𝑒𝑛</m:t>
                        </m:r>
                        <m:r>
                          <a:rPr lang="es-CO" sz="1400" b="0" i="1">
                            <a:latin typeface="Cambria Math" panose="02040503050406030204" pitchFamily="18" charset="0"/>
                          </a:rPr>
                          <m:t> </m:t>
                        </m:r>
                        <m:r>
                          <a:rPr lang="es-CO" sz="1400" b="0" i="1">
                            <a:latin typeface="Cambria Math" panose="02040503050406030204" pitchFamily="18" charset="0"/>
                          </a:rPr>
                          <m:t>𝑑𝑒</m:t>
                        </m:r>
                        <m:r>
                          <a:rPr lang="es-CO" sz="1400" b="0" i="1">
                            <a:latin typeface="Cambria Math" panose="02040503050406030204" pitchFamily="18" charset="0"/>
                          </a:rPr>
                          <m:t> </m:t>
                        </m:r>
                        <m:r>
                          <a:rPr lang="es-CO" sz="1400" b="0" i="1">
                            <a:latin typeface="Cambria Math" panose="02040503050406030204" pitchFamily="18" charset="0"/>
                          </a:rPr>
                          <m:t>𝑝𝑟𝑜𝑑𝑢𝑐𝑐𝑖</m:t>
                        </m:r>
                        <m:r>
                          <m:rPr>
                            <m:sty m:val="p"/>
                          </m:rPr>
                          <a:rPr lang="es-CO" sz="1400" b="0" i="1">
                            <a:latin typeface="Cambria Math" panose="02040503050406030204" pitchFamily="18" charset="0"/>
                          </a:rPr>
                          <m:t>o</m:t>
                        </m:r>
                        <m:r>
                          <a:rPr lang="es-CO" sz="1400" b="0" i="1">
                            <a:latin typeface="Cambria Math" panose="02040503050406030204" pitchFamily="18" charset="0"/>
                          </a:rPr>
                          <m:t>𝑛</m:t>
                        </m:r>
                      </m:num>
                      <m:den>
                        <m:r>
                          <a:rPr lang="es-CO" sz="1400" b="0" i="1">
                            <a:latin typeface="Cambria Math" panose="02040503050406030204" pitchFamily="18" charset="0"/>
                          </a:rPr>
                          <m:t>𝐶𝑎𝑝𝑎𝑐𝑖𝑑𝑎𝑑</m:t>
                        </m:r>
                        <m:r>
                          <a:rPr lang="es-CO" sz="1400" b="0" i="1">
                            <a:latin typeface="Cambria Math" panose="02040503050406030204" pitchFamily="18" charset="0"/>
                          </a:rPr>
                          <m:t> </m:t>
                        </m:r>
                        <m:r>
                          <a:rPr lang="es-CO" sz="1400" b="0" i="1">
                            <a:latin typeface="Cambria Math" panose="02040503050406030204" pitchFamily="18" charset="0"/>
                          </a:rPr>
                          <m:t>𝑖𝑛𝑠𝑡𝑎𝑙𝑎𝑑𝑎</m:t>
                        </m:r>
                      </m:den>
                    </m:f>
                    <m:r>
                      <a:rPr lang="es-CO" sz="1400" b="0" i="1">
                        <a:latin typeface="Cambria Math" panose="02040503050406030204" pitchFamily="18" charset="0"/>
                      </a:rPr>
                      <m:t>∗100%</m:t>
                    </m:r>
                  </m:oMath>
                </m:oMathPara>
              </a14:m>
              <a:endParaRPr lang="es-CO" sz="1400"/>
            </a:p>
          </xdr:txBody>
        </xdr:sp>
      </mc:Choice>
      <mc:Fallback xmlns="">
        <xdr:sp macro="" textlink="">
          <xdr:nvSpPr>
            <xdr:cNvPr id="32" name="CuadroTexto 8">
              <a:extLst>
                <a:ext uri="{FF2B5EF4-FFF2-40B4-BE49-F238E27FC236}">
                  <a16:creationId xmlns:a16="http://schemas.microsoft.com/office/drawing/2014/main" xmlns="" xmlns:a14="http://schemas.microsoft.com/office/drawing/2010/main" id="{B06E0FA6-EC5A-CE4A-9FEB-46AECCB176E1}"/>
                </a:ext>
              </a:extLst>
            </xdr:cNvPr>
            <xdr:cNvSpPr txBox="1"/>
          </xdr:nvSpPr>
          <xdr:spPr>
            <a:xfrm>
              <a:off x="36298532" y="173508729"/>
              <a:ext cx="7121818" cy="445315"/>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s-CO" sz="1400" b="1" i="0" kern="1200">
                  <a:solidFill>
                    <a:schemeClr val="tx1"/>
                  </a:solidFill>
                  <a:effectLst/>
                  <a:latin typeface="Cambria Math" panose="02040503050406030204" pitchFamily="18" charset="0"/>
                  <a:ea typeface="+mn-ea"/>
                  <a:cs typeface="+mn-cs"/>
                </a:rPr>
                <a:t>𝑼𝒔𝒐 𝒅𝒆 𝒍𝒂  </a:t>
              </a:r>
              <a:r>
                <a:rPr lang="es-CO" sz="1400" b="1" i="0">
                  <a:latin typeface="Cambria Math" panose="02040503050406030204" pitchFamily="18" charset="0"/>
                </a:rPr>
                <a:t>𝑪𝒂𝒑𝒂𝒄𝒊𝒅𝒂𝒅 𝒊𝒏𝒔𝒕𝒂𝒍𝒂𝒅𝒂 </a:t>
              </a:r>
              <a:r>
                <a:rPr lang="es-CO" sz="1400" i="0">
                  <a:latin typeface="Cambria Math" panose="02040503050406030204" pitchFamily="18" charset="0"/>
                </a:rPr>
                <a:t>=(</a:t>
              </a:r>
              <a:r>
                <a:rPr lang="es-CO" sz="1400" b="0" i="0">
                  <a:latin typeface="Cambria Math" panose="02040503050406030204" pitchFamily="18" charset="0"/>
                </a:rPr>
                <a:t>𝑉𝑜𝑙𝑢𝑚𝑒𝑛 𝑑𝑒 𝑝𝑟𝑜𝑑𝑢𝑐𝑐𝑖o𝑛)/(𝐶𝑎𝑝𝑎𝑐𝑖𝑑𝑎𝑑 𝑖𝑛𝑠𝑡𝑎𝑙𝑎𝑑𝑎)∗100%</a:t>
              </a:r>
              <a:endParaRPr lang="es-CO" sz="1400"/>
            </a:p>
          </xdr:txBody>
        </xdr:sp>
      </mc:Fallback>
    </mc:AlternateContent>
    <xdr:clientData/>
  </xdr:twoCellAnchor>
  <xdr:twoCellAnchor>
    <xdr:from>
      <xdr:col>12</xdr:col>
      <xdr:colOff>148709</xdr:colOff>
      <xdr:row>79</xdr:row>
      <xdr:rowOff>478760</xdr:rowOff>
    </xdr:from>
    <xdr:to>
      <xdr:col>13</xdr:col>
      <xdr:colOff>23842</xdr:colOff>
      <xdr:row>79</xdr:row>
      <xdr:rowOff>1582395</xdr:rowOff>
    </xdr:to>
    <mc:AlternateContent xmlns:mc="http://schemas.openxmlformats.org/markup-compatibility/2006" xmlns:a14="http://schemas.microsoft.com/office/drawing/2010/main">
      <mc:Choice Requires="a14">
        <xdr:sp macro="" textlink="">
          <xdr:nvSpPr>
            <xdr:cNvPr id="26" name="CuadroTexto 7">
              <a:extLst>
                <a:ext uri="{FF2B5EF4-FFF2-40B4-BE49-F238E27FC236}">
                  <a16:creationId xmlns:a16="http://schemas.microsoft.com/office/drawing/2014/main" xmlns="" id="{ADF507DB-E53E-FA4B-B638-2AFC8C44AECB}"/>
                </a:ext>
              </a:extLst>
            </xdr:cNvPr>
            <xdr:cNvSpPr txBox="1"/>
          </xdr:nvSpPr>
          <xdr:spPr>
            <a:xfrm>
              <a:off x="33403383" y="149089467"/>
              <a:ext cx="6811818" cy="1103635"/>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14:m>
                <m:oMathPara xmlns:m="http://schemas.openxmlformats.org/officeDocument/2006/math">
                  <m:oMathParaPr>
                    <m:jc m:val="left"/>
                  </m:oMathParaPr>
                  <m:oMath xmlns:m="http://schemas.openxmlformats.org/officeDocument/2006/math">
                    <m:r>
                      <a:rPr lang="es-CO" sz="1400" b="0" i="1" kern="1200">
                        <a:solidFill>
                          <a:schemeClr val="tx1"/>
                        </a:solidFill>
                        <a:latin typeface="Cambria Math" panose="02040503050406030204" pitchFamily="18" charset="0"/>
                        <a:ea typeface="+mn-ea"/>
                        <a:cs typeface="+mn-cs"/>
                      </a:rPr>
                      <m:t>𝑷𝒓𝒐𝒅𝒖𝒄𝒕𝒊𝒗𝒊𝒅𝒂𝒅</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𝒍𝒂𝒃𝒐𝒓𝒂𝒍</m:t>
                    </m:r>
                    <m:r>
                      <a:rPr lang="es-CO" sz="1400" b="0" i="1" kern="1200">
                        <a:solidFill>
                          <a:schemeClr val="tx1"/>
                        </a:solidFill>
                        <a:latin typeface="Cambria Math" panose="02040503050406030204" pitchFamily="18" charset="0"/>
                        <a:ea typeface="+mn-ea"/>
                        <a:cs typeface="+mn-cs"/>
                      </a:rPr>
                      <m:t>=</m:t>
                    </m:r>
                    <m:f>
                      <m:fPr>
                        <m:ctrlPr>
                          <a:rPr lang="es-CO" sz="1400" b="0" i="1" kern="1200">
                            <a:solidFill>
                              <a:schemeClr val="tx1"/>
                            </a:solidFill>
                            <a:latin typeface="Cambria Math" panose="02040503050406030204" pitchFamily="18" charset="0"/>
                            <a:ea typeface="+mn-ea"/>
                            <a:cs typeface="+mn-cs"/>
                          </a:rPr>
                        </m:ctrlPr>
                      </m:fPr>
                      <m:num>
                        <m:r>
                          <a:rPr lang="es-CO" sz="1400" b="0" i="1" kern="1200">
                            <a:solidFill>
                              <a:schemeClr val="tx1"/>
                            </a:solidFill>
                            <a:latin typeface="Cambria Math" panose="02040503050406030204" pitchFamily="18" charset="0"/>
                            <a:ea typeface="+mn-ea"/>
                            <a:cs typeface="+mn-cs"/>
                          </a:rPr>
                          <m:t>𝑈𝑛𝑖𝑑𝑎𝑑𝑒𝑠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𝑝𝑟𝑜𝑑𝑢𝑐𝑖𝑑𝑎𝑠</m:t>
                        </m:r>
                      </m:num>
                      <m:den>
                        <m:r>
                          <a:rPr lang="es-CO" sz="1400" b="0" i="1" kern="1200">
                            <a:solidFill>
                              <a:schemeClr val="tx1"/>
                            </a:solidFill>
                            <a:latin typeface="Cambria Math" panose="02040503050406030204" pitchFamily="18" charset="0"/>
                            <a:ea typeface="+mn-ea"/>
                            <a:cs typeface="+mn-cs"/>
                          </a:rPr>
                          <m:t>𝐻</m:t>
                        </m:r>
                        <m:r>
                          <a:rPr lang="es-CO" sz="1400" b="0" i="1" kern="1200">
                            <a:solidFill>
                              <a:schemeClr val="tx1"/>
                            </a:solidFill>
                            <a:latin typeface="Cambria Math" panose="02040503050406030204" pitchFamily="18" charset="0"/>
                            <a:ea typeface="+mn-ea"/>
                            <a:cs typeface="+mn-cs"/>
                          </a:rPr>
                          <m:t>.</m:t>
                        </m:r>
                        <m:r>
                          <a:rPr lang="es-CO" sz="1400" b="0" i="1" kern="1200">
                            <a:solidFill>
                              <a:schemeClr val="tx1"/>
                            </a:solidFill>
                            <a:latin typeface="Cambria Math" panose="02040503050406030204" pitchFamily="18" charset="0"/>
                            <a:ea typeface="+mn-ea"/>
                            <a:cs typeface="+mn-cs"/>
                          </a:rPr>
                          <m:t>𝐻</m:t>
                        </m:r>
                        <m:r>
                          <a:rPr lang="es-CO" sz="1400" b="0" i="1" kern="1200">
                            <a:solidFill>
                              <a:schemeClr val="tx1"/>
                            </a:solidFill>
                            <a:latin typeface="Cambria Math" panose="02040503050406030204" pitchFamily="18" charset="0"/>
                            <a:ea typeface="+mn-ea"/>
                            <a:cs typeface="+mn-cs"/>
                          </a:rPr>
                          <m:t>.</m:t>
                        </m:r>
                        <m:r>
                          <a:rPr lang="es-CO" sz="1400" b="0" i="1" kern="1200">
                            <a:solidFill>
                              <a:schemeClr val="tx1"/>
                            </a:solidFill>
                            <a:latin typeface="Cambria Math" panose="02040503050406030204" pitchFamily="18" charset="0"/>
                            <a:ea typeface="+mn-ea"/>
                            <a:cs typeface="+mn-cs"/>
                          </a:rPr>
                          <m:t>𝑟𝑒𝑎𝑙𝑒𝑠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𝑁</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𝑝𝑒𝑟𝑠𝑜𝑛𝑎𝑠</m:t>
                        </m:r>
                      </m:den>
                    </m:f>
                    <m:r>
                      <a:rPr lang="es-CO" sz="1400" b="0" i="1" kern="1200">
                        <a:solidFill>
                          <a:schemeClr val="tx1"/>
                        </a:solidFill>
                        <a:latin typeface="Cambria Math" panose="02040503050406030204" pitchFamily="18" charset="0"/>
                        <a:ea typeface="+mn-ea"/>
                        <a:cs typeface="+mn-cs"/>
                      </a:rPr>
                      <m:t>/</m:t>
                    </m:r>
                    <m:f>
                      <m:fPr>
                        <m:ctrlPr>
                          <a:rPr lang="es-CO" sz="1400" b="0" i="1" kern="1200">
                            <a:solidFill>
                              <a:schemeClr val="tx1"/>
                            </a:solidFill>
                            <a:latin typeface="Cambria Math" panose="02040503050406030204" pitchFamily="18" charset="0"/>
                            <a:ea typeface="+mn-ea"/>
                            <a:cs typeface="+mn-cs"/>
                          </a:rPr>
                        </m:ctrlPr>
                      </m:fPr>
                      <m:num>
                        <m:r>
                          <a:rPr lang="es-CO" sz="1400" b="0" i="1" kern="1200">
                            <a:solidFill>
                              <a:schemeClr val="tx1"/>
                            </a:solidFill>
                            <a:latin typeface="Cambria Math" panose="02040503050406030204" pitchFamily="18" charset="0"/>
                            <a:ea typeface="+mn-ea"/>
                            <a:cs typeface="+mn-cs"/>
                          </a:rPr>
                          <m:t>𝑈𝑛𝑖𝑑𝑎𝑑𝑒𝑠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𝑃𝑟𝑜𝑑𝑢𝑐𝑖𝑑𝑎𝑠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𝑑𝑒</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𝑎𝑐𝑢𝑒𝑟𝑑𝑜</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𝑎</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𝑐𝑎𝑝𝑎𝑐𝑖𝑑𝑎𝑑</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𝑡</m:t>
                        </m:r>
                        <m:r>
                          <a:rPr lang="es-CO" sz="1400" b="0" i="1" kern="1200">
                            <a:solidFill>
                              <a:schemeClr val="tx1"/>
                            </a:solidFill>
                            <a:latin typeface="Cambria Math" panose="02040503050406030204" pitchFamily="18" charset="0"/>
                            <a:ea typeface="+mn-ea"/>
                            <a:cs typeface="+mn-cs"/>
                          </a:rPr>
                          <m:t>é</m:t>
                        </m:r>
                        <m:r>
                          <a:rPr lang="es-CO" sz="1400" b="0" i="1" kern="1200">
                            <a:solidFill>
                              <a:schemeClr val="tx1"/>
                            </a:solidFill>
                            <a:latin typeface="Cambria Math" panose="02040503050406030204" pitchFamily="18" charset="0"/>
                            <a:ea typeface="+mn-ea"/>
                            <a:cs typeface="+mn-cs"/>
                          </a:rPr>
                          <m:t>𝑜𝑟𝑖𝑐𝑎</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𝑝𝑟𝑜𝑝𝑢𝑒𝑠𝑡𝑎</m:t>
                        </m:r>
                      </m:num>
                      <m:den>
                        <m:r>
                          <a:rPr lang="es-CO" sz="1400" b="0" i="1" kern="1200">
                            <a:solidFill>
                              <a:schemeClr val="tx1"/>
                            </a:solidFill>
                            <a:latin typeface="Cambria Math" panose="02040503050406030204" pitchFamily="18" charset="0"/>
                            <a:ea typeface="+mn-ea"/>
                            <a:cs typeface="+mn-cs"/>
                          </a:rPr>
                          <m:t>𝐻</m:t>
                        </m:r>
                        <m:r>
                          <a:rPr lang="es-CO" sz="1400" b="0" i="1" kern="1200">
                            <a:solidFill>
                              <a:schemeClr val="tx1"/>
                            </a:solidFill>
                            <a:latin typeface="Cambria Math" panose="02040503050406030204" pitchFamily="18" charset="0"/>
                            <a:ea typeface="+mn-ea"/>
                            <a:cs typeface="+mn-cs"/>
                          </a:rPr>
                          <m:t>.</m:t>
                        </m:r>
                        <m:r>
                          <a:rPr lang="es-CO" sz="1400" b="0" i="1" kern="1200">
                            <a:solidFill>
                              <a:schemeClr val="tx1"/>
                            </a:solidFill>
                            <a:latin typeface="Cambria Math" panose="02040503050406030204" pitchFamily="18" charset="0"/>
                            <a:ea typeface="+mn-ea"/>
                            <a:cs typeface="+mn-cs"/>
                          </a:rPr>
                          <m:t>𝐻</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𝑃𝑙𝑎𝑛𝑖𝑓𝑖𝑐𝑎𝑑𝑎𝑠</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𝑁</m:t>
                        </m:r>
                        <m:r>
                          <a:rPr lang="es-CO" sz="1400" b="0" i="1" kern="1200">
                            <a:solidFill>
                              <a:schemeClr val="tx1"/>
                            </a:solidFill>
                            <a:latin typeface="Cambria Math" panose="02040503050406030204" pitchFamily="18" charset="0"/>
                            <a:ea typeface="+mn-ea"/>
                            <a:cs typeface="+mn-cs"/>
                          </a:rPr>
                          <m:t>° </m:t>
                        </m:r>
                        <m:r>
                          <a:rPr lang="es-CO" sz="1400" b="0" i="1" kern="1200">
                            <a:solidFill>
                              <a:schemeClr val="tx1"/>
                            </a:solidFill>
                            <a:latin typeface="Cambria Math" panose="02040503050406030204" pitchFamily="18" charset="0"/>
                            <a:ea typeface="+mn-ea"/>
                            <a:cs typeface="+mn-cs"/>
                          </a:rPr>
                          <m:t>𝑝𝑒𝑟𝑠𝑜𝑛𝑎𝑠</m:t>
                        </m:r>
                      </m:den>
                    </m:f>
                    <m:r>
                      <a:rPr lang="es-CO" sz="1400" b="0" i="1" kern="1200">
                        <a:solidFill>
                          <a:schemeClr val="tx1"/>
                        </a:solidFill>
                        <a:latin typeface="Cambria Math" panose="02040503050406030204" pitchFamily="18" charset="0"/>
                        <a:ea typeface="+mn-ea"/>
                        <a:cs typeface="+mn-cs"/>
                      </a:rPr>
                      <m:t>∗100%</m:t>
                    </m:r>
                  </m:oMath>
                </m:oMathPara>
              </a14:m>
              <a:endParaRPr lang="es-CO" sz="1400" b="0" i="1" kern="1200">
                <a:solidFill>
                  <a:schemeClr val="tx1"/>
                </a:solidFill>
                <a:latin typeface="Cambria Math" panose="02040503050406030204" pitchFamily="18" charset="0"/>
                <a:ea typeface="+mn-ea"/>
                <a:cs typeface="+mn-cs"/>
              </a:endParaRPr>
            </a:p>
          </xdr:txBody>
        </xdr:sp>
      </mc:Choice>
      <mc:Fallback xmlns="">
        <xdr:sp macro="" textlink="">
          <xdr:nvSpPr>
            <xdr:cNvPr id="26" name="CuadroTexto 7">
              <a:extLst>
                <a:ext uri="{FF2B5EF4-FFF2-40B4-BE49-F238E27FC236}">
                  <a16:creationId xmlns="" xmlns:a16="http://schemas.microsoft.com/office/drawing/2014/main" xmlns:a14="http://schemas.microsoft.com/office/drawing/2010/main" id="{ADF507DB-E53E-FA4B-B638-2AFC8C44AECB}"/>
                </a:ext>
              </a:extLst>
            </xdr:cNvPr>
            <xdr:cNvSpPr txBox="1"/>
          </xdr:nvSpPr>
          <xdr:spPr>
            <a:xfrm>
              <a:off x="33403383" y="149089467"/>
              <a:ext cx="6811818" cy="1103635"/>
            </a:xfrm>
            <a:prstGeom prst="rect">
              <a:avLst/>
            </a:prstGeom>
            <a:noFill/>
          </xdr:spPr>
          <xdr:txBody>
            <a:bodyPr wrap="square" lIns="0" tIns="0" rIns="0" bIns="0"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914400" rtl="0" eaLnBrk="1" latinLnBrk="0" hangingPunct="1"/>
              <a:r>
                <a:rPr lang="es-CO" sz="1400" b="0" i="0" kern="1200">
                  <a:solidFill>
                    <a:schemeClr val="tx1"/>
                  </a:solidFill>
                  <a:latin typeface="Cambria Math" panose="02040503050406030204" pitchFamily="18" charset="0"/>
                  <a:ea typeface="+mn-ea"/>
                  <a:cs typeface="+mn-cs"/>
                </a:rPr>
                <a:t>𝑷𝒓𝒐𝒅𝒖𝒄𝒕𝒊𝒗𝒊𝒅𝒂𝒅 𝒍𝒂𝒃𝒐𝒓𝒂𝒍=(𝑈𝑛𝑖𝑑𝑎𝑑𝑒𝑠 𝑝𝑟𝑜𝑑𝑢𝑐𝑖𝑑𝑎𝑠)/(𝐻.𝐻.𝑟𝑒𝑎𝑙𝑒𝑠 ∗𝑁° 𝑝𝑒𝑟𝑠𝑜𝑛𝑎𝑠)/(𝑈𝑛𝑖𝑑𝑎𝑑𝑒𝑠 𝑃𝑟𝑜𝑑𝑢𝑐𝑖𝑑𝑎𝑠 𝑑𝑒 𝑎𝑐𝑢𝑒𝑟𝑑𝑜 𝑎 𝑐𝑎𝑝𝑎𝑐𝑖𝑑𝑎𝑑 𝑡é𝑜𝑟𝑖𝑐𝑎 𝑝𝑟𝑜𝑝𝑢𝑒𝑠𝑡𝑎)/(𝐻.𝐻. 𝑃𝑙𝑎𝑛𝑖𝑓𝑖𝑐𝑎𝑑𝑎𝑠 ∗𝑁° 𝑝𝑒𝑟𝑠𝑜𝑛𝑎𝑠)∗100%</a:t>
              </a:r>
              <a:endParaRPr lang="es-CO" sz="1400" b="0" i="1" kern="1200">
                <a:solidFill>
                  <a:schemeClr val="tx1"/>
                </a:solidFill>
                <a:latin typeface="Cambria Math" panose="02040503050406030204" pitchFamily="18" charset="0"/>
                <a:ea typeface="+mn-ea"/>
                <a:cs typeface="+mn-cs"/>
              </a:endParaRPr>
            </a:p>
          </xdr:txBody>
        </xdr:sp>
      </mc:Fallback>
    </mc:AlternateContent>
    <xdr:clientData/>
  </xdr:twoCellAnchor>
</xdr:wsDr>
</file>

<file path=xl/drawings/drawing36.xml><?xml version="1.0" encoding="utf-8"?>
<c:userShapes xmlns:c="http://schemas.openxmlformats.org/drawingml/2006/chart">
  <cdr:relSizeAnchor xmlns:cdr="http://schemas.openxmlformats.org/drawingml/2006/chartDrawing">
    <cdr:from>
      <cdr:x>0.38323</cdr:x>
      <cdr:y>0.48613</cdr:y>
    </cdr:from>
    <cdr:to>
      <cdr:x>0.63405</cdr:x>
      <cdr:y>0.58449</cdr:y>
    </cdr:to>
    <cdr:sp macro="" textlink="'TODA LA BASE '!$P$10">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263344" y="3534347"/>
          <a:ext cx="3444798" cy="71511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51A63595-E0C7-4D3A-9CD5-6F54DFF39596}" type="TxLink">
            <a:rPr lang="en-US" sz="2500" b="0" i="0" u="none" strike="noStrike">
              <a:solidFill>
                <a:schemeClr val="bg1"/>
              </a:solidFill>
              <a:latin typeface="Arial"/>
              <a:cs typeface="Arial"/>
            </a:rPr>
            <a:pPr algn="ctr"/>
            <a:t>80%</a:t>
          </a:fld>
          <a:endParaRPr lang="es-CO" sz="2500">
            <a:solidFill>
              <a:schemeClr val="bg1"/>
            </a:solidFill>
          </a:endParaRPr>
        </a:p>
      </cdr:txBody>
    </cdr:sp>
  </cdr:relSizeAnchor>
  <cdr:relSizeAnchor xmlns:cdr="http://schemas.openxmlformats.org/drawingml/2006/chartDrawing">
    <cdr:from>
      <cdr:x>0.07373</cdr:x>
      <cdr:y>0.60053</cdr:y>
    </cdr:from>
    <cdr:to>
      <cdr:x>0.96018</cdr:x>
      <cdr:y>0.87205</cdr:y>
    </cdr:to>
    <cdr:sp macro="" textlink="'TODA LA BASE '!$D$10">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201676" y="4364986"/>
          <a:ext cx="14447657" cy="19735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A69B9EF6-4073-496A-8475-A9C751E84EEF}" type="TxLink">
            <a:rPr lang="en-US" sz="2400" b="0" i="0" u="none" strike="noStrike">
              <a:solidFill>
                <a:schemeClr val="bg1"/>
              </a:solidFill>
              <a:latin typeface="Arial"/>
              <a:cs typeface="Arial"/>
            </a:rPr>
            <a:pPr algn="ctr"/>
            <a:t>Evaluar y mejorar de manera continua el Sistema Integrado de Gestión.</a:t>
          </a:fld>
          <a:endParaRPr lang="es-CO" sz="7200">
            <a:solidFill>
              <a:schemeClr val="bg1"/>
            </a:solidFill>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0.31221</cdr:x>
      <cdr:y>0.4953</cdr:y>
    </cdr:from>
    <cdr:to>
      <cdr:x>0.56303</cdr:x>
      <cdr:y>0.59366</cdr:y>
    </cdr:to>
    <cdr:sp macro="" textlink="'TODA LA BASE '!$P$18:$R$22">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760758" y="3328782"/>
          <a:ext cx="1414537" cy="661057"/>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189FA4D0-388C-480C-9841-C6814BF09E9F}" type="TxLink">
            <a:rPr lang="en-US" sz="2000" b="0" i="0" u="none" strike="noStrike">
              <a:solidFill>
                <a:srgbClr val="000000"/>
              </a:solidFill>
              <a:latin typeface="Arial"/>
              <a:cs typeface="Arial"/>
            </a:rPr>
            <a:pPr algn="ctr"/>
            <a:t>78%</a:t>
          </a:fld>
          <a:endParaRPr lang="es-CO" sz="2500">
            <a:solidFill>
              <a:schemeClr val="bg1"/>
            </a:solidFill>
          </a:endParaRPr>
        </a:p>
      </cdr:txBody>
    </cdr:sp>
  </cdr:relSizeAnchor>
  <cdr:relSizeAnchor xmlns:cdr="http://schemas.openxmlformats.org/drawingml/2006/chartDrawing">
    <cdr:from>
      <cdr:x>0.06203</cdr:x>
      <cdr:y>0.69718</cdr:y>
    </cdr:from>
    <cdr:to>
      <cdr:x>0.94848</cdr:x>
      <cdr:y>0.9687</cdr:y>
    </cdr:to>
    <cdr:sp macro="" textlink="'TODA LA BASE '!$D$18">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001239" y="12865508"/>
          <a:ext cx="14308590" cy="501052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571EB782-BDEB-479F-8336-85F560ED2C4A}" type="TxLink">
            <a:rPr lang="en-US" sz="2400" b="0" i="0" u="none" strike="noStrike">
              <a:solidFill>
                <a:schemeClr val="bg1"/>
              </a:solidFill>
              <a:latin typeface="Arial"/>
              <a:cs typeface="Arial"/>
            </a:rPr>
            <a:pPr algn="ctr"/>
            <a:t>Incrementar las ventas, cobertura y mantener el posicionamiento de las marcas.</a:t>
          </a:fld>
          <a:endParaRPr lang="es-CO" sz="2400">
            <a:solidFill>
              <a:schemeClr val="bg1"/>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0.40942</cdr:x>
      <cdr:y>0.57487</cdr:y>
    </cdr:from>
    <cdr:to>
      <cdr:x>0.66024</cdr:x>
      <cdr:y>0.64006</cdr:y>
    </cdr:to>
    <cdr:sp macro="" textlink="'TODA LA BASE '!$P$23:$R$30">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4043990" y="5750353"/>
          <a:ext cx="2477457" cy="65203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E42570EE-B03C-4233-85EC-C66C2F000939}" type="TxLink">
            <a:rPr lang="en-US" sz="2000" b="0" i="0" u="none" strike="noStrike">
              <a:solidFill>
                <a:srgbClr val="000000"/>
              </a:solidFill>
              <a:latin typeface="Arial"/>
              <a:cs typeface="Arial"/>
            </a:rPr>
            <a:pPr algn="ctr"/>
            <a:t>91%</a:t>
          </a:fld>
          <a:endParaRPr lang="es-CO" sz="2500">
            <a:solidFill>
              <a:schemeClr val="bg1"/>
            </a:solidFill>
          </a:endParaRPr>
        </a:p>
      </cdr:txBody>
    </cdr:sp>
  </cdr:relSizeAnchor>
  <cdr:relSizeAnchor xmlns:cdr="http://schemas.openxmlformats.org/drawingml/2006/chartDrawing">
    <cdr:from>
      <cdr:x>0.07033</cdr:x>
      <cdr:y>0.67798</cdr:y>
    </cdr:from>
    <cdr:to>
      <cdr:x>0.95678</cdr:x>
      <cdr:y>0.88335</cdr:y>
    </cdr:to>
    <cdr:sp macro="" textlink="'TODA LA BASE '!$D$23">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12528" y="11380008"/>
          <a:ext cx="14022472" cy="3447243"/>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6E26DC85-8D1D-48E9-940C-3C23F1544530}" type="TxLink">
            <a:rPr lang="en-US" sz="1800" b="0" i="0" u="none" strike="noStrike">
              <a:solidFill>
                <a:schemeClr val="bg1"/>
              </a:solidFill>
              <a:latin typeface="Arial"/>
              <a:cs typeface="Arial"/>
            </a:rPr>
            <a:pPr algn="ctr"/>
            <a:t>
Optimizar los recursos económicos de la Empresa de Licores de Cundinamarca, en beneficio de los Cundinamarqueses y demás partes interesadas.</a:t>
          </a:fld>
          <a:endParaRPr lang="es-CO" sz="1800">
            <a:solidFill>
              <a:schemeClr val="bg1"/>
            </a:solidFill>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0.40909</cdr:x>
      <cdr:y>0.5944</cdr:y>
    </cdr:from>
    <cdr:to>
      <cdr:x>0.65991</cdr:x>
      <cdr:y>0.69276</cdr:y>
    </cdr:to>
    <cdr:sp macro="" textlink="'TODA LA BASE '!$P$31:$R$66">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6557560" y="5167778"/>
          <a:ext cx="4020550" cy="855153"/>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FE2A3C39-DBDC-4A79-9F44-95338EDB9A65}" type="TxLink">
            <a:rPr lang="en-US" sz="2000" b="0" i="0" u="none" strike="noStrike">
              <a:solidFill>
                <a:srgbClr val="000000"/>
              </a:solidFill>
              <a:latin typeface="Arial"/>
              <a:cs typeface="Arial"/>
            </a:rPr>
            <a:pPr algn="ctr"/>
            <a:t>116%</a:t>
          </a:fld>
          <a:endParaRPr lang="es-CO" sz="2500">
            <a:solidFill>
              <a:schemeClr val="bg1"/>
            </a:solidFill>
          </a:endParaRPr>
        </a:p>
      </cdr:txBody>
    </cdr:sp>
  </cdr:relSizeAnchor>
  <cdr:relSizeAnchor xmlns:cdr="http://schemas.openxmlformats.org/drawingml/2006/chartDrawing">
    <cdr:from>
      <cdr:x>0.06793</cdr:x>
      <cdr:y>0.71075</cdr:y>
    </cdr:from>
    <cdr:to>
      <cdr:x>0.95438</cdr:x>
      <cdr:y>0.98227</cdr:y>
    </cdr:to>
    <cdr:sp macro="" textlink="'TODA LA BASE '!$D$31">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060F19CA-629F-455E-9952-9ED259E72123}" type="TxLink">
            <a:rPr lang="en-US" sz="2400" b="0" i="0" u="none" strike="noStrike">
              <a:solidFill>
                <a:schemeClr val="bg1"/>
              </a:solidFill>
              <a:latin typeface="Arial"/>
              <a:cs typeface="Arial"/>
            </a:rPr>
            <a:pPr algn="ctr"/>
            <a:t>Identificar, capturar y compartir el conocimiento y fortalecer las competencias del capital humano de la Empresa de Licores de Cundinamarca.</a:t>
          </a:fld>
          <a:endParaRPr lang="es-CO" sz="4800">
            <a:solidFill>
              <a:schemeClr val="bg1"/>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2</xdr:col>
      <xdr:colOff>2205944</xdr:colOff>
      <xdr:row>2</xdr:row>
      <xdr:rowOff>52828</xdr:rowOff>
    </xdr:from>
    <xdr:to>
      <xdr:col>4</xdr:col>
      <xdr:colOff>86591</xdr:colOff>
      <xdr:row>4</xdr:row>
      <xdr:rowOff>243269</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6228" y="637317"/>
          <a:ext cx="1842181" cy="1272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2909454</xdr:colOff>
      <xdr:row>14</xdr:row>
      <xdr:rowOff>0</xdr:rowOff>
    </xdr:from>
    <xdr:to>
      <xdr:col>17</xdr:col>
      <xdr:colOff>12685197</xdr:colOff>
      <xdr:row>14</xdr:row>
      <xdr:rowOff>17319</xdr:rowOff>
    </xdr:to>
    <xdr:graphicFrame macro="">
      <xdr:nvGraphicFramePr>
        <xdr:cNvPr id="14" name="Gráfico 13">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807476</xdr:colOff>
      <xdr:row>10</xdr:row>
      <xdr:rowOff>0</xdr:rowOff>
    </xdr:from>
    <xdr:to>
      <xdr:col>17</xdr:col>
      <xdr:colOff>12283648</xdr:colOff>
      <xdr:row>11</xdr:row>
      <xdr:rowOff>0</xdr:rowOff>
    </xdr:to>
    <xdr:graphicFrame macro="">
      <xdr:nvGraphicFramePr>
        <xdr:cNvPr id="16" name="Gráfico 15">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TODA LA BASE '!$D$67">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4B7E3D04-7B3D-45A3-BEE6-58415E3F3E38}" type="TxLink">
            <a:rPr lang="en-US" sz="2000" b="0" i="0" u="none" strike="noStrike">
              <a:solidFill>
                <a:schemeClr val="bg1"/>
              </a:solidFill>
              <a:latin typeface="Arial"/>
              <a:cs typeface="Arial"/>
            </a:rPr>
            <a:pPr algn="ctr"/>
            <a:t>Fortalecer el uso de los canales de comunicación en procura de satisfacer las necesidades y expectativas de las partes interesadas.</a:t>
          </a:fld>
          <a:endParaRPr lang="es-CO" sz="4400">
            <a:solidFill>
              <a:schemeClr val="bg1"/>
            </a:solidFill>
          </a:endParaRPr>
        </a:p>
      </cdr:txBody>
    </cdr:sp>
  </cdr:relSizeAnchor>
  <cdr:relSizeAnchor xmlns:cdr="http://schemas.openxmlformats.org/drawingml/2006/chartDrawing">
    <cdr:from>
      <cdr:x>0.41579</cdr:x>
      <cdr:y>0.55597</cdr:y>
    </cdr:from>
    <cdr:to>
      <cdr:x>0.6222</cdr:x>
      <cdr:y>0.69916</cdr:y>
    </cdr:to>
    <cdr:sp macro="" textlink="'TODA LA BASE '!$P$67:$R$71">
      <cdr:nvSpPr>
        <cdr:cNvPr id="4" name="Rectángulo: esquinas redondeadas 2">
          <a:extLst xmlns:a="http://schemas.openxmlformats.org/drawingml/2006/main">
            <a:ext uri="{FF2B5EF4-FFF2-40B4-BE49-F238E27FC236}">
              <a16:creationId xmlns="" xmlns:a16="http://schemas.microsoft.com/office/drawing/2014/main" xmlns:lc="http://schemas.openxmlformats.org/drawingml/2006/lockedCanvas" id="{109B3D06-B374-4D16-8A9F-E76F2841F8B4}"/>
            </a:ext>
          </a:extLst>
        </cdr:cNvPr>
        <cdr:cNvSpPr/>
      </cdr:nvSpPr>
      <cdr:spPr>
        <a:xfrm xmlns:a="http://schemas.openxmlformats.org/drawingml/2006/main">
          <a:off x="6559550" y="1941368"/>
          <a:ext cx="3256239" cy="49997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A34346D-16FA-4418-A48F-E9755ADFCA54}" type="TxLink">
            <a:rPr lang="en-US" sz="2000" b="0" i="0" u="none" strike="noStrike">
              <a:solidFill>
                <a:srgbClr val="000000"/>
              </a:solidFill>
              <a:latin typeface="Arial"/>
              <a:cs typeface="Arial"/>
            </a:rPr>
            <a:pPr algn="ctr"/>
            <a:t>410%</a:t>
          </a:fld>
          <a:endParaRPr lang="es-CO" sz="2500">
            <a:solidFill>
              <a:schemeClr val="bg1"/>
            </a:solidFill>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0.39914</cdr:x>
      <cdr:y>0.58867</cdr:y>
    </cdr:from>
    <cdr:to>
      <cdr:x>0.64996</cdr:x>
      <cdr:y>0.68703</cdr:y>
    </cdr:to>
    <cdr:sp macro="" textlink="'TODA LA BASE '!$P$72:$R$82">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6075701" y="2895118"/>
          <a:ext cx="3817990" cy="483744"/>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E417DC85-7545-4213-ABFD-2A7C6F6C017D}" type="TxLink">
            <a:rPr lang="en-US" sz="2000" b="0" i="0" u="none" strike="noStrike">
              <a:solidFill>
                <a:srgbClr val="000000"/>
              </a:solidFill>
              <a:latin typeface="Arial"/>
              <a:cs typeface="Arial"/>
            </a:rPr>
            <a:pPr algn="ctr"/>
            <a:t>62%</a:t>
          </a:fld>
          <a:endParaRPr lang="es-CO" sz="2500">
            <a:solidFill>
              <a:schemeClr val="bg1"/>
            </a:solidFill>
          </a:endParaRPr>
        </a:p>
      </cdr:txBody>
    </cdr:sp>
  </cdr:relSizeAnchor>
  <cdr:relSizeAnchor xmlns:cdr="http://schemas.openxmlformats.org/drawingml/2006/chartDrawing">
    <cdr:from>
      <cdr:x>0.07589</cdr:x>
      <cdr:y>0.71484</cdr:y>
    </cdr:from>
    <cdr:to>
      <cdr:x>0.96234</cdr:x>
      <cdr:y>0.98636</cdr:y>
    </cdr:to>
    <cdr:sp macro="" textlink="'TODA LA BASE '!#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295765" y="4993523"/>
          <a:ext cx="15134859" cy="1896694"/>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99930DBF-8FFD-4C50-AB6D-DA54A1B346DD}" type="TxLink">
            <a:rPr lang="en-US" sz="1400" b="0" i="0" u="none" strike="noStrike">
              <a:solidFill>
                <a:schemeClr val="bg1"/>
              </a:solidFill>
              <a:latin typeface="Arial"/>
              <a:cs typeface="Arial"/>
            </a:rPr>
            <a:pPr algn="ctr"/>
            <a:t>Optimizar el uso de la capacidad productiva y operativa de la E.L.C.</a:t>
          </a:fld>
          <a:endParaRPr lang="es-CO" sz="4800">
            <a:solidFill>
              <a:schemeClr val="bg1"/>
            </a:solidFill>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TODA LA BASE '!$D$83">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ACAF368E-7C47-418D-A13E-275BED65C793}" type="TxLink">
            <a:rPr lang="en-US" sz="2400" b="0" i="0" u="none" strike="noStrike">
              <a:solidFill>
                <a:schemeClr val="bg1"/>
              </a:solidFill>
              <a:latin typeface="Arial"/>
              <a:cs typeface="Arial"/>
            </a:rPr>
            <a:pPr algn="ctr"/>
            <a:t>Brindar asesoría Jurídica oportuna, con credibilidad, eficacia.</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TODA LA BASE '!$P$83:$R$88">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FB03FEFC-890F-4912-B44D-53AEFECCCA06}" type="TxLink">
            <a:rPr lang="en-US" sz="2000" b="0" i="0" u="none" strike="noStrike">
              <a:solidFill>
                <a:srgbClr val="000000"/>
              </a:solidFill>
              <a:latin typeface="Arial"/>
              <a:cs typeface="Arial"/>
            </a:rPr>
            <a:pPr algn="ctr"/>
            <a:t>55%</a:t>
          </a:fld>
          <a:endParaRPr lang="es-CO" sz="25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43.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TODA LA BASE '!$D$94">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1CDA5F91-3E02-4895-BCC3-3C9B3BF60082}" type="TxLink">
            <a:rPr lang="en-US" sz="2400" b="0" i="0" u="none" strike="noStrike">
              <a:solidFill>
                <a:schemeClr val="bg1"/>
              </a:solidFill>
              <a:latin typeface="Arial"/>
              <a:cs typeface="Arial"/>
            </a:rPr>
            <a:pPr algn="ctr"/>
            <a:t>Fomentar espacios de uso de metodologías de innovación como un factor estratégico clave para la efectividad de la gestión.</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TODA LA BASE '!$P$94:$R$102">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98B6F596-93DD-4708-81EE-3CBF15162663}" type="TxLink">
            <a:rPr lang="en-US" sz="2000" b="0" i="0" u="none" strike="noStrike">
              <a:solidFill>
                <a:srgbClr val="000000"/>
              </a:solidFill>
              <a:latin typeface="Arial"/>
              <a:cs typeface="Arial"/>
            </a:rPr>
            <a:pPr algn="ctr"/>
            <a:t>72%</a:t>
          </a:fld>
          <a:endParaRPr lang="es-CO" sz="25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44.xml><?xml version="1.0" encoding="utf-8"?>
<c:userShapes xmlns:c="http://schemas.openxmlformats.org/drawingml/2006/chart">
  <cdr:relSizeAnchor xmlns:cdr="http://schemas.openxmlformats.org/drawingml/2006/chartDrawing">
    <cdr:from>
      <cdr:x>0</cdr:x>
      <cdr:y>0.71075</cdr:y>
    </cdr:from>
    <cdr:to>
      <cdr:x>0.95438</cdr:x>
      <cdr:y>1</cdr:y>
    </cdr:to>
    <cdr:sp macro="" textlink="'TODA LA BASE '!#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0" y="3132203"/>
          <a:ext cx="4226214" cy="1274697"/>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2400" b="0" i="0" u="none" strike="noStrike">
              <a:solidFill>
                <a:schemeClr val="bg1"/>
              </a:solidFill>
              <a:latin typeface="Arial"/>
              <a:cs typeface="Arial"/>
            </a:rPr>
            <a:t>Fomentar e implementar estrategias de operación y producción más limpia encaminadas a la disminución de la huella de carbono.</a:t>
          </a:r>
          <a:endParaRPr lang="es-CO" sz="2400">
            <a:solidFill>
              <a:schemeClr val="bg1"/>
            </a:solidFill>
          </a:endParaRPr>
        </a:p>
      </cdr:txBody>
    </cdr:sp>
  </cdr:relSizeAnchor>
  <cdr:relSizeAnchor xmlns:cdr="http://schemas.openxmlformats.org/drawingml/2006/chartDrawing">
    <cdr:from>
      <cdr:x>0.37912</cdr:x>
      <cdr:y>0.61327</cdr:y>
    </cdr:from>
    <cdr:to>
      <cdr:x>0.63814</cdr:x>
      <cdr:y>0.69944</cdr:y>
    </cdr:to>
    <cdr:sp macro="" textlink="'TODA LA BASE '!$P$103:$R$105">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852578" y="4035434"/>
          <a:ext cx="1265690" cy="567015"/>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549F656A-4328-4AC9-91D8-28F19D08B563}" type="TxLink">
            <a:rPr lang="en-US" sz="2000" b="0" i="0" u="none" strike="noStrike">
              <a:solidFill>
                <a:srgbClr val="000000"/>
              </a:solidFill>
              <a:latin typeface="Arial"/>
              <a:cs typeface="Arial"/>
            </a:rPr>
            <a:pPr algn="ctr"/>
            <a:t>21%</a:t>
          </a:fld>
          <a:endParaRPr lang="es-CO" sz="25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45.xml><?xml version="1.0" encoding="utf-8"?>
<c:userShapes xmlns:c="http://schemas.openxmlformats.org/drawingml/2006/chart">
  <cdr:relSizeAnchor xmlns:cdr="http://schemas.openxmlformats.org/drawingml/2006/chartDrawing">
    <cdr:from>
      <cdr:x>0.06352</cdr:x>
      <cdr:y>0.68954</cdr:y>
    </cdr:from>
    <cdr:to>
      <cdr:x>0.94997</cdr:x>
      <cdr:y>0.96106</cdr:y>
    </cdr:to>
    <cdr:sp macro="" textlink="'TODA LA BASE '!#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934697" y="4222463"/>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2400" b="0" i="0" u="none" strike="noStrike">
              <a:solidFill>
                <a:schemeClr val="bg1"/>
              </a:solidFill>
              <a:latin typeface="Arial"/>
              <a:cs typeface="Arial"/>
            </a:rPr>
            <a:t>Disminuir la frecuencia y permanencia de los impactos ambientales negativos generados por la empresa.</a:t>
          </a:r>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TODA LA BASE '!$P$106:$R$107">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507F9121-38C3-4C94-A2E8-2692895939D2}" type="TxLink">
            <a:rPr lang="en-US" sz="2000" b="0" i="0" u="none" strike="noStrike">
              <a:solidFill>
                <a:srgbClr val="000000"/>
              </a:solidFill>
              <a:latin typeface="Arial"/>
              <a:cs typeface="Arial"/>
            </a:rPr>
            <a:pPr algn="ctr"/>
            <a:t>5%</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46.xml><?xml version="1.0" encoding="utf-8"?>
<c:userShapes xmlns:c="http://schemas.openxmlformats.org/drawingml/2006/chart">
  <cdr:relSizeAnchor xmlns:cdr="http://schemas.openxmlformats.org/drawingml/2006/chartDrawing">
    <cdr:from>
      <cdr:x>0.07529</cdr:x>
      <cdr:y>0.69308</cdr:y>
    </cdr:from>
    <cdr:to>
      <cdr:x>0.96174</cdr:x>
      <cdr:y>0.9646</cdr:y>
    </cdr:to>
    <cdr:sp macro="" textlink="'TODA LA BASE '!#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07926" y="4244115"/>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2400" b="0" i="0" u="none" strike="noStrike">
              <a:solidFill>
                <a:schemeClr val="bg1"/>
              </a:solidFill>
              <a:latin typeface="Arial"/>
              <a:cs typeface="Arial"/>
            </a:rPr>
            <a:t>Aumentar la recuperación de envases y empaques de los productos, para la disminución de los niveles de producción ilegal.</a:t>
          </a:r>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TODA LA BASE '!$P$108">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41B2596-081C-445E-89DC-928723636BCD}" type="TxLink">
            <a:rPr lang="en-US" sz="2400" b="0" i="0" u="none" strike="noStrike">
              <a:solidFill>
                <a:schemeClr val="bg1"/>
              </a:solidFill>
              <a:latin typeface="Arial"/>
              <a:cs typeface="Arial"/>
            </a:rPr>
            <a:pPr algn="ctr"/>
            <a:t>4%</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47.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TODA LA BASE '!#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692B9622-C97A-439D-BC1B-66899B207E66}" type="TxLink">
            <a:rPr lang="en-US" sz="2400" b="0" i="0" u="none" strike="noStrike">
              <a:solidFill>
                <a:schemeClr val="bg1"/>
              </a:solidFill>
              <a:latin typeface="Arial"/>
              <a:cs typeface="Arial"/>
            </a:rPr>
            <a:pPr algn="ctr"/>
            <a:t>*Incrementar la confianza del consumidor en la calidad del producto.</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TODA LA BASE '!$Q$16:$R$17">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5810F24-D540-4152-8B61-B46797143EF3}" type="TxLink">
            <a:rPr lang="en-US" sz="2000" b="0" i="0" u="none" strike="noStrike">
              <a:solidFill>
                <a:srgbClr val="000000"/>
              </a:solidFill>
              <a:latin typeface="Arial"/>
              <a:cs typeface="Arial"/>
            </a:rPr>
            <a:pPr algn="ctr"/>
            <a:t>100%</a:t>
          </a:fld>
          <a:endParaRPr lang="es-CO" sz="2500">
            <a:solidFill>
              <a:schemeClr val="bg1"/>
            </a:solidFill>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TODA LA BASE '!$D$89">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004BD17D-EFBF-4EB4-94F8-FCAFB69C1BBF}" type="TxLink">
            <a:rPr lang="en-US" sz="2400" b="0" i="0" u="none" strike="noStrike">
              <a:solidFill>
                <a:schemeClr val="bg1"/>
              </a:solidFill>
              <a:latin typeface="Arial"/>
              <a:cs typeface="Arial"/>
            </a:rPr>
            <a:pPr algn="ctr"/>
            <a:t>Realizar acciones para prevenir enfermedades laborales, accidentes e incidentes de trabajo, y para brindar un ambiente sano y seguro tanto a los servidores públicos como a nuestros usuarios. Gestión SST.</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TODA LA BASE '!$P$89:$R$93">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p xmlns:a="http://schemas.openxmlformats.org/drawingml/2006/main">
          <a:pPr algn="ctr"/>
          <a:fld id="{BC3CADE7-9D68-441D-BC05-FAC41E2326C7}" type="TxLink">
            <a:rPr lang="en-US" sz="2000" b="0" i="0" u="none" strike="noStrike">
              <a:solidFill>
                <a:srgbClr val="000000"/>
              </a:solidFill>
              <a:latin typeface="Arial"/>
              <a:cs typeface="Arial"/>
            </a:rPr>
            <a:pPr algn="ctr"/>
            <a:t>36%</a:t>
          </a:fld>
          <a:endParaRPr lang="en-US" sz="25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49.xml><?xml version="1.0" encoding="utf-8"?>
<xdr:wsDr xmlns:xdr="http://schemas.openxmlformats.org/drawingml/2006/spreadsheetDrawing" xmlns:a="http://schemas.openxmlformats.org/drawingml/2006/main">
  <xdr:twoCellAnchor>
    <xdr:from>
      <xdr:col>2</xdr:col>
      <xdr:colOff>6548</xdr:colOff>
      <xdr:row>10</xdr:row>
      <xdr:rowOff>36909</xdr:rowOff>
    </xdr:from>
    <xdr:to>
      <xdr:col>7</xdr:col>
      <xdr:colOff>376833</xdr:colOff>
      <xdr:row>24</xdr:row>
      <xdr:rowOff>163710</xdr:rowOff>
    </xdr:to>
    <xdr:graphicFrame macro="">
      <xdr:nvGraphicFramePr>
        <xdr:cNvPr id="2" name="Gráfico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489943</xdr:colOff>
      <xdr:row>10</xdr:row>
      <xdr:rowOff>23387</xdr:rowOff>
    </xdr:from>
    <xdr:to>
      <xdr:col>13</xdr:col>
      <xdr:colOff>328017</xdr:colOff>
      <xdr:row>24</xdr:row>
      <xdr:rowOff>162435</xdr:rowOff>
    </xdr:to>
    <xdr:graphicFrame macro="">
      <xdr:nvGraphicFramePr>
        <xdr:cNvPr id="3" name="Gráfico 2">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454223</xdr:colOff>
      <xdr:row>10</xdr:row>
      <xdr:rowOff>8504</xdr:rowOff>
    </xdr:from>
    <xdr:to>
      <xdr:col>19</xdr:col>
      <xdr:colOff>282774</xdr:colOff>
      <xdr:row>24</xdr:row>
      <xdr:rowOff>147551</xdr:rowOff>
    </xdr:to>
    <xdr:graphicFrame macro="">
      <xdr:nvGraphicFramePr>
        <xdr:cNvPr id="4" name="Gráfico 3">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483394</xdr:colOff>
      <xdr:row>30</xdr:row>
      <xdr:rowOff>97800</xdr:rowOff>
    </xdr:from>
    <xdr:to>
      <xdr:col>25</xdr:col>
      <xdr:colOff>729258</xdr:colOff>
      <xdr:row>53</xdr:row>
      <xdr:rowOff>178592</xdr:rowOff>
    </xdr:to>
    <xdr:graphicFrame macro="">
      <xdr:nvGraphicFramePr>
        <xdr:cNvPr id="7" name="Gráfico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494705</xdr:colOff>
      <xdr:row>25</xdr:row>
      <xdr:rowOff>88955</xdr:rowOff>
    </xdr:from>
    <xdr:to>
      <xdr:col>13</xdr:col>
      <xdr:colOff>342304</xdr:colOff>
      <xdr:row>40</xdr:row>
      <xdr:rowOff>146360</xdr:rowOff>
    </xdr:to>
    <xdr:graphicFrame macro="">
      <xdr:nvGraphicFramePr>
        <xdr:cNvPr id="9" name="Gráfico 8">
          <a:extLst>
            <a:ext uri="{FF2B5EF4-FFF2-40B4-BE49-F238E27FC236}">
              <a16:creationId xmlns:a16="http://schemas.microsoft.com/office/drawing/2014/main" xmlns=""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439340</xdr:colOff>
      <xdr:row>25</xdr:row>
      <xdr:rowOff>68885</xdr:rowOff>
    </xdr:from>
    <xdr:to>
      <xdr:col>19</xdr:col>
      <xdr:colOff>267891</xdr:colOff>
      <xdr:row>40</xdr:row>
      <xdr:rowOff>131477</xdr:rowOff>
    </xdr:to>
    <xdr:graphicFrame macro="">
      <xdr:nvGraphicFramePr>
        <xdr:cNvPr id="10" name="Gráfico 9">
          <a:extLst>
            <a:ext uri="{FF2B5EF4-FFF2-40B4-BE49-F238E27FC236}">
              <a16:creationId xmlns:a16="http://schemas.microsoft.com/office/drawing/2014/main" xmlns=""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535782</xdr:colOff>
      <xdr:row>25</xdr:row>
      <xdr:rowOff>88955</xdr:rowOff>
    </xdr:from>
    <xdr:to>
      <xdr:col>7</xdr:col>
      <xdr:colOff>405408</xdr:colOff>
      <xdr:row>40</xdr:row>
      <xdr:rowOff>158607</xdr:rowOff>
    </xdr:to>
    <xdr:graphicFrame macro="">
      <xdr:nvGraphicFramePr>
        <xdr:cNvPr id="13" name="Gráfico 12">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3572</xdr:colOff>
      <xdr:row>41</xdr:row>
      <xdr:rowOff>41587</xdr:rowOff>
    </xdr:from>
    <xdr:to>
      <xdr:col>7</xdr:col>
      <xdr:colOff>408978</xdr:colOff>
      <xdr:row>59</xdr:row>
      <xdr:rowOff>74414</xdr:rowOff>
    </xdr:to>
    <xdr:graphicFrame macro="">
      <xdr:nvGraphicFramePr>
        <xdr:cNvPr id="11" name="Gráfico 10">
          <a:extLst>
            <a:ext uri="{FF2B5EF4-FFF2-40B4-BE49-F238E27FC236}">
              <a16:creationId xmlns:a16="http://schemas.microsoft.com/office/drawing/2014/main" xmlns=""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509588</xdr:colOff>
      <xdr:row>41</xdr:row>
      <xdr:rowOff>29765</xdr:rowOff>
    </xdr:from>
    <xdr:to>
      <xdr:col>13</xdr:col>
      <xdr:colOff>338137</xdr:colOff>
      <xdr:row>59</xdr:row>
      <xdr:rowOff>74414</xdr:rowOff>
    </xdr:to>
    <xdr:graphicFrame macro="">
      <xdr:nvGraphicFramePr>
        <xdr:cNvPr id="12" name="Gráfico 11">
          <a:extLst>
            <a:ext uri="{FF2B5EF4-FFF2-40B4-BE49-F238E27FC236}">
              <a16:creationId xmlns:a16="http://schemas.microsoft.com/office/drawing/2014/main" xmlns=""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439341</xdr:colOff>
      <xdr:row>41</xdr:row>
      <xdr:rowOff>41588</xdr:rowOff>
    </xdr:from>
    <xdr:to>
      <xdr:col>19</xdr:col>
      <xdr:colOff>267892</xdr:colOff>
      <xdr:row>59</xdr:row>
      <xdr:rowOff>89297</xdr:rowOff>
    </xdr:to>
    <xdr:graphicFrame macro="">
      <xdr:nvGraphicFramePr>
        <xdr:cNvPr id="14" name="Gráfico 13">
          <a:extLst>
            <a:ext uri="{FF2B5EF4-FFF2-40B4-BE49-F238E27FC236}">
              <a16:creationId xmlns:a16="http://schemas.microsoft.com/office/drawing/2014/main" xmlns=""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453629</xdr:colOff>
      <xdr:row>62</xdr:row>
      <xdr:rowOff>29766</xdr:rowOff>
    </xdr:from>
    <xdr:to>
      <xdr:col>13</xdr:col>
      <xdr:colOff>282178</xdr:colOff>
      <xdr:row>80</xdr:row>
      <xdr:rowOff>0</xdr:rowOff>
    </xdr:to>
    <xdr:graphicFrame macro="">
      <xdr:nvGraphicFramePr>
        <xdr:cNvPr id="15" name="Gráfico 14">
          <a:extLst>
            <a:ext uri="{FF2B5EF4-FFF2-40B4-BE49-F238E27FC236}">
              <a16:creationId xmlns:a16="http://schemas.microsoft.com/office/drawing/2014/main" xmlns=""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610196</xdr:colOff>
      <xdr:row>61</xdr:row>
      <xdr:rowOff>29766</xdr:rowOff>
    </xdr:from>
    <xdr:to>
      <xdr:col>7</xdr:col>
      <xdr:colOff>438745</xdr:colOff>
      <xdr:row>79</xdr:row>
      <xdr:rowOff>0</xdr:rowOff>
    </xdr:to>
    <xdr:graphicFrame macro="">
      <xdr:nvGraphicFramePr>
        <xdr:cNvPr id="16" name="Gráfico 15">
          <a:extLst>
            <a:ext uri="{FF2B5EF4-FFF2-40B4-BE49-F238E27FC236}">
              <a16:creationId xmlns:a16="http://schemas.microsoft.com/office/drawing/2014/main" xmlns=""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461367</xdr:colOff>
      <xdr:row>61</xdr:row>
      <xdr:rowOff>29766</xdr:rowOff>
    </xdr:from>
    <xdr:to>
      <xdr:col>19</xdr:col>
      <xdr:colOff>289917</xdr:colOff>
      <xdr:row>79</xdr:row>
      <xdr:rowOff>0</xdr:rowOff>
    </xdr:to>
    <xdr:graphicFrame macro="">
      <xdr:nvGraphicFramePr>
        <xdr:cNvPr id="17" name="Gráfico 16">
          <a:extLst>
            <a:ext uri="{FF2B5EF4-FFF2-40B4-BE49-F238E27FC236}">
              <a16:creationId xmlns:a16="http://schemas.microsoft.com/office/drawing/2014/main" xmlns=""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6</xdr:col>
      <xdr:colOff>6443</xdr:colOff>
      <xdr:row>1</xdr:row>
      <xdr:rowOff>163704</xdr:rowOff>
    </xdr:from>
    <xdr:ext cx="8351262" cy="937629"/>
    <xdr:sp macro="" textlink="">
      <xdr:nvSpPr>
        <xdr:cNvPr id="5" name="Rectángulo 4"/>
        <xdr:cNvSpPr/>
      </xdr:nvSpPr>
      <xdr:spPr>
        <a:xfrm>
          <a:off x="4292693" y="357181"/>
          <a:ext cx="8351262"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REVISIÓN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POR LA DIRECCIÓN</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0.07529</cdr:x>
      <cdr:y>0.69308</cdr:y>
    </cdr:from>
    <cdr:to>
      <cdr:x>0.96174</cdr:x>
      <cdr:y>0.9646</cdr:y>
    </cdr:to>
    <cdr:sp macro="" textlink="'CONTROL DE CALIDAD'!#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107926" y="4244115"/>
          <a:ext cx="13044780" cy="166268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E61BC05-5784-4C4F-BC9F-3E9054470808}" type="TxLink">
            <a:rPr lang="en-US" sz="2400" b="0" i="0" u="none" strike="noStrike">
              <a:solidFill>
                <a:schemeClr val="bg1"/>
              </a:solidFill>
              <a:latin typeface="Arial"/>
              <a:cs typeface="Arial"/>
            </a:rPr>
            <a:pPr algn="ctr"/>
            <a:t> </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CONTROL DE CALIDAD'!#REF!">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B41B2596-081C-445E-89DC-928723636BCD}" type="TxLink">
            <a:rPr lang="en-US" sz="2400" b="0" i="0" u="none" strike="noStrike">
              <a:solidFill>
                <a:schemeClr val="bg1"/>
              </a:solidFill>
              <a:latin typeface="Arial"/>
              <a:cs typeface="Arial"/>
            </a:rPr>
            <a:pPr algn="ctr"/>
            <a:t>0%</a:t>
          </a:fld>
          <a:endParaRPr lang="es-CO" sz="2400">
            <a:solidFill>
              <a:schemeClr val="bg1"/>
            </a:solidFill>
          </a:endParaRPr>
        </a:p>
      </cdr:txBody>
    </cdr:sp>
  </cdr:relSizeAnchor>
  <cdr:relSizeAnchor xmlns:cdr="http://schemas.openxmlformats.org/drawingml/2006/chartDrawing">
    <cdr:from>
      <cdr:x>0.66835</cdr:x>
      <cdr:y>0.8662</cdr:y>
    </cdr:from>
    <cdr:to>
      <cdr:x>0.73049</cdr:x>
      <cdr:y>1</cdr:y>
    </cdr:to>
    <cdr:sp macro="" textlink="">
      <cdr:nvSpPr>
        <cdr:cNvPr id="3" name="CuadroTexto 2"/>
        <cdr:cNvSpPr txBox="1"/>
      </cdr:nvSpPr>
      <cdr:spPr>
        <a:xfrm xmlns:a="http://schemas.openxmlformats.org/drawingml/2006/main">
          <a:off x="9834564" y="6119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drawings/drawing50.xml><?xml version="1.0" encoding="utf-8"?>
<c:userShapes xmlns:c="http://schemas.openxmlformats.org/drawingml/2006/chart">
  <cdr:relSizeAnchor xmlns:cdr="http://schemas.openxmlformats.org/drawingml/2006/chartDrawing">
    <cdr:from>
      <cdr:x>0.36298</cdr:x>
      <cdr:y>0.44553</cdr:y>
    </cdr:from>
    <cdr:to>
      <cdr:x>0.6138</cdr:x>
      <cdr:y>0.54389</cdr:y>
    </cdr:to>
    <cdr:sp macro="" textlink="'TODA LA BASE '!$P$10:$R$15">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511938" y="1263276"/>
          <a:ext cx="1044766" cy="278897"/>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DEC018C7-BBC0-4A70-9100-90516ACB532F}" type="TxLink">
            <a:rPr lang="en-US" sz="1800" b="0" i="0" u="none" strike="noStrike">
              <a:solidFill>
                <a:schemeClr val="bg1"/>
              </a:solidFill>
              <a:latin typeface="Arial"/>
              <a:cs typeface="Arial"/>
            </a:rPr>
            <a:pPr algn="ctr"/>
            <a:t>80%</a:t>
          </a:fld>
          <a:endParaRPr lang="es-CO" sz="1600">
            <a:solidFill>
              <a:schemeClr val="bg1"/>
            </a:solidFill>
          </a:endParaRPr>
        </a:p>
      </cdr:txBody>
    </cdr:sp>
  </cdr:relSizeAnchor>
  <cdr:relSizeAnchor xmlns:cdr="http://schemas.openxmlformats.org/drawingml/2006/chartDrawing">
    <cdr:from>
      <cdr:x>0.05038</cdr:x>
      <cdr:y>0.69718</cdr:y>
    </cdr:from>
    <cdr:to>
      <cdr:x>0.93683</cdr:x>
      <cdr:y>0.9687</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221446" y="1990113"/>
          <a:ext cx="3896118" cy="775060"/>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600" b="0" i="0" u="none" strike="noStrike">
              <a:solidFill>
                <a:schemeClr val="bg1"/>
              </a:solidFill>
              <a:latin typeface="Arial" panose="020B0604020202020204" pitchFamily="34" charset="0"/>
              <a:cs typeface="Arial" panose="020B0604020202020204" pitchFamily="34" charset="0"/>
            </a:rPr>
            <a:t>Evaluar y mejorar de manera continua el Sistema Integrado de Gestión</a:t>
          </a:r>
          <a:endParaRPr lang="es-CO" sz="1600">
            <a:solidFill>
              <a:schemeClr val="bg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0.48839</cdr:x>
      <cdr:y>0.16545</cdr:y>
    </cdr:from>
    <cdr:to>
      <cdr:x>0.58083</cdr:x>
      <cdr:y>0.44553</cdr:y>
    </cdr:to>
    <cdr:cxnSp macro="">
      <cdr:nvCxnSpPr>
        <cdr:cNvPr id="4" name="Conector recto de flecha 3"/>
        <cdr:cNvCxnSpPr>
          <a:stCxn xmlns:a="http://schemas.openxmlformats.org/drawingml/2006/main" id="3" idx="0"/>
        </cdr:cNvCxnSpPr>
      </cdr:nvCxnSpPr>
      <cdr:spPr>
        <a:xfrm xmlns:a="http://schemas.openxmlformats.org/drawingml/2006/main" flipV="1">
          <a:off x="2034321" y="469116"/>
          <a:ext cx="385050" cy="79416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0.39215</cdr:x>
      <cdr:y>0.46243</cdr:y>
    </cdr:from>
    <cdr:to>
      <cdr:x>0.64297</cdr:x>
      <cdr:y>0.56079</cdr:y>
    </cdr:to>
    <cdr:sp macro="" textlink="'TODA LA BASE '!$Q$16:$R$17">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722393" y="1316879"/>
          <a:ext cx="1101655" cy="28010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D64D5D7B-6010-43BE-92BB-F715B297ECD6}" type="TxLink">
            <a:rPr lang="en-US" sz="1800" b="0" i="0" u="none" strike="noStrike">
              <a:solidFill>
                <a:schemeClr val="bg1"/>
              </a:solidFill>
              <a:latin typeface="Arial"/>
              <a:cs typeface="Arial"/>
            </a:rPr>
            <a:pPr algn="ctr"/>
            <a:t>100%</a:t>
          </a:fld>
          <a:endParaRPr lang="es-CO" sz="1800">
            <a:solidFill>
              <a:schemeClr val="bg1"/>
            </a:solidFill>
          </a:endParaRPr>
        </a:p>
      </cdr:txBody>
    </cdr:sp>
  </cdr:relSizeAnchor>
  <cdr:relSizeAnchor xmlns:cdr="http://schemas.openxmlformats.org/drawingml/2006/chartDrawing">
    <cdr:from>
      <cdr:x>0.0776</cdr:x>
      <cdr:y>0.69234</cdr:y>
    </cdr:from>
    <cdr:to>
      <cdr:x>0.96405</cdr:x>
      <cdr:y>0.96386</cdr:y>
    </cdr:to>
    <cdr:sp macro="" textlink="">
      <cdr:nvSpPr>
        <cdr:cNvPr id="6" name="Rectángulo: esquinas redondeadas 4">
          <a:extLst xmlns:a="http://schemas.openxmlformats.org/drawingml/2006/main">
            <a:ext uri="{FF2B5EF4-FFF2-40B4-BE49-F238E27FC236}">
              <a16:creationId xmlns:lc="http://schemas.openxmlformats.org/drawingml/2006/lockedCanvas" xmlns="" xmlns:a16="http://schemas.microsoft.com/office/drawing/2014/main" id="{069AC4C0-4A35-408D-95A1-5A5D0434C948}"/>
            </a:ext>
          </a:extLst>
        </cdr:cNvPr>
        <cdr:cNvSpPr/>
      </cdr:nvSpPr>
      <cdr:spPr>
        <a:xfrm xmlns:a="http://schemas.openxmlformats.org/drawingml/2006/main">
          <a:off x="340852" y="1971595"/>
          <a:ext cx="3893479" cy="7732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600">
              <a:solidFill>
                <a:schemeClr val="bg1"/>
              </a:solidFill>
              <a:latin typeface="Arial" panose="020B0604020202020204" pitchFamily="34" charset="0"/>
              <a:cs typeface="Arial" panose="020B0604020202020204" pitchFamily="34" charset="0"/>
            </a:rPr>
            <a:t>Incrementar la confianza del consumidor en la calidad de nuestros productos.</a:t>
          </a:r>
        </a:p>
      </cdr:txBody>
    </cdr:sp>
  </cdr:relSizeAnchor>
  <cdr:relSizeAnchor xmlns:cdr="http://schemas.openxmlformats.org/drawingml/2006/chartDrawing">
    <cdr:from>
      <cdr:x>0.51756</cdr:x>
      <cdr:y>0.46243</cdr:y>
    </cdr:from>
    <cdr:to>
      <cdr:x>0.78639</cdr:x>
      <cdr:y>0.51964</cdr:y>
    </cdr:to>
    <cdr:cxnSp macro="">
      <cdr:nvCxnSpPr>
        <cdr:cNvPr id="4" name="Conector recto de flecha 3"/>
        <cdr:cNvCxnSpPr>
          <a:stCxn xmlns:a="http://schemas.openxmlformats.org/drawingml/2006/main" id="3" idx="0"/>
        </cdr:cNvCxnSpPr>
      </cdr:nvCxnSpPr>
      <cdr:spPr>
        <a:xfrm xmlns:a="http://schemas.openxmlformats.org/drawingml/2006/main">
          <a:off x="2273235" y="1316871"/>
          <a:ext cx="1180768" cy="16290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0.39601</cdr:x>
      <cdr:y>0.48994</cdr:y>
    </cdr:from>
    <cdr:to>
      <cdr:x>0.64683</cdr:x>
      <cdr:y>0.58062</cdr:y>
    </cdr:to>
    <cdr:sp macro="" textlink="'TODA LA BASE '!$P$18:$R$22">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735611" y="1395216"/>
          <a:ext cx="1099267" cy="25823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28346963-96B1-4635-9AF7-867C33A35FCC}" type="TxLink">
            <a:rPr lang="en-US" sz="1800" b="0" i="0" u="none" strike="noStrike">
              <a:solidFill>
                <a:schemeClr val="bg1"/>
              </a:solidFill>
              <a:latin typeface="Arial"/>
              <a:cs typeface="Arial"/>
            </a:rPr>
            <a:pPr algn="ctr"/>
            <a:t>78%</a:t>
          </a:fld>
          <a:endParaRPr lang="es-CO" sz="1800">
            <a:solidFill>
              <a:schemeClr val="bg1"/>
            </a:solidFill>
          </a:endParaRPr>
        </a:p>
      </cdr:txBody>
    </cdr:sp>
  </cdr:relSizeAnchor>
  <cdr:relSizeAnchor xmlns:cdr="http://schemas.openxmlformats.org/drawingml/2006/chartDrawing">
    <cdr:from>
      <cdr:x>0.07287</cdr:x>
      <cdr:y>0.65903</cdr:y>
    </cdr:from>
    <cdr:to>
      <cdr:x>0.96124</cdr:x>
      <cdr:y>0.92762</cdr:y>
    </cdr:to>
    <cdr:sp macro="" textlink="">
      <cdr:nvSpPr>
        <cdr:cNvPr id="6" name="Rectángulo: esquinas redondeadas 4">
          <a:extLst xmlns:a="http://schemas.openxmlformats.org/drawingml/2006/main">
            <a:ext uri="{FF2B5EF4-FFF2-40B4-BE49-F238E27FC236}">
              <a16:creationId xmlns:lc="http://schemas.openxmlformats.org/drawingml/2006/lockedCanvas" xmlns:a16="http://schemas.microsoft.com/office/drawing/2014/main" xmlns="" id="{069AC4C0-4A35-408D-95A1-5A5D0434C948}"/>
            </a:ext>
          </a:extLst>
        </cdr:cNvPr>
        <cdr:cNvSpPr/>
      </cdr:nvSpPr>
      <cdr:spPr>
        <a:xfrm xmlns:a="http://schemas.openxmlformats.org/drawingml/2006/main">
          <a:off x="319347" y="1897188"/>
          <a:ext cx="3893480" cy="773213"/>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600">
              <a:solidFill>
                <a:schemeClr val="bg1"/>
              </a:solidFill>
              <a:latin typeface="Arial" panose="020B0604020202020204" pitchFamily="34" charset="0"/>
              <a:cs typeface="Arial" panose="020B0604020202020204" pitchFamily="34" charset="0"/>
            </a:rPr>
            <a:t>Incrementar las ventas, cobertura y mantener el posicionamiento de las marcas.</a:t>
          </a:r>
        </a:p>
      </cdr:txBody>
    </cdr:sp>
  </cdr:relSizeAnchor>
  <cdr:relSizeAnchor xmlns:cdr="http://schemas.openxmlformats.org/drawingml/2006/chartDrawing">
    <cdr:from>
      <cdr:x>0.51123</cdr:x>
      <cdr:y>0.34194</cdr:y>
    </cdr:from>
    <cdr:to>
      <cdr:x>0.66381</cdr:x>
      <cdr:y>0.48994</cdr:y>
    </cdr:to>
    <cdr:cxnSp macro="">
      <cdr:nvCxnSpPr>
        <cdr:cNvPr id="4" name="Conector recto de flecha 3"/>
        <cdr:cNvCxnSpPr/>
      </cdr:nvCxnSpPr>
      <cdr:spPr>
        <a:xfrm xmlns:a="http://schemas.openxmlformats.org/drawingml/2006/main" flipV="1">
          <a:off x="2240575" y="973761"/>
          <a:ext cx="668718" cy="42145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0.39557</cdr:x>
      <cdr:y>0.55806</cdr:y>
    </cdr:from>
    <cdr:to>
      <cdr:x>0.64639</cdr:x>
      <cdr:y>0.65642</cdr:y>
    </cdr:to>
    <cdr:sp macro="" textlink="'TODA LA BASE '!$P$23:$R$30">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741177" y="1589207"/>
          <a:ext cx="1104045" cy="28010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607B5A7C-F1D4-4DF3-9A75-2EF6FFEC41C2}" type="TxLink">
            <a:rPr lang="en-US" sz="1800" b="0" i="0" u="none" strike="noStrike">
              <a:solidFill>
                <a:schemeClr val="bg1"/>
              </a:solidFill>
              <a:latin typeface="Arial"/>
              <a:cs typeface="Arial"/>
            </a:rPr>
            <a:pPr algn="ctr"/>
            <a:t>91%</a:t>
          </a:fld>
          <a:endParaRPr lang="es-CO" sz="1800">
            <a:solidFill>
              <a:schemeClr val="bg1"/>
            </a:solidFill>
          </a:endParaRPr>
        </a:p>
      </cdr:txBody>
    </cdr:sp>
  </cdr:relSizeAnchor>
  <cdr:relSizeAnchor xmlns:cdr="http://schemas.openxmlformats.org/drawingml/2006/chartDrawing">
    <cdr:from>
      <cdr:x>0.07634</cdr:x>
      <cdr:y>0.69104</cdr:y>
    </cdr:from>
    <cdr:to>
      <cdr:x>0.96279</cdr:x>
      <cdr:y>0.98029</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66446" y="3130935"/>
          <a:ext cx="4254965" cy="131052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400">
              <a:solidFill>
                <a:schemeClr val="bg1"/>
              </a:solidFill>
              <a:latin typeface="Arial" panose="020B0604020202020204" pitchFamily="34" charset="0"/>
              <a:cs typeface="Arial" panose="020B0604020202020204" pitchFamily="34" charset="0"/>
            </a:rPr>
            <a:t>Optimizar los recursos económicos de la Empresa de Licores de Cundinamarca, en beneficio de los Cundinamarqueses y demás partes interesadas.</a:t>
          </a:r>
        </a:p>
      </cdr:txBody>
    </cdr:sp>
  </cdr:relSizeAnchor>
  <cdr:relSizeAnchor xmlns:cdr="http://schemas.openxmlformats.org/drawingml/2006/chartDrawing">
    <cdr:from>
      <cdr:x>0.52098</cdr:x>
      <cdr:y>0.47443</cdr:y>
    </cdr:from>
    <cdr:to>
      <cdr:x>0.78296</cdr:x>
      <cdr:y>0.55806</cdr:y>
    </cdr:to>
    <cdr:cxnSp macro="">
      <cdr:nvCxnSpPr>
        <cdr:cNvPr id="4" name="Conector recto de flecha 3"/>
        <cdr:cNvCxnSpPr>
          <a:stCxn xmlns:a="http://schemas.openxmlformats.org/drawingml/2006/main" id="3" idx="0"/>
        </cdr:cNvCxnSpPr>
      </cdr:nvCxnSpPr>
      <cdr:spPr>
        <a:xfrm xmlns:a="http://schemas.openxmlformats.org/drawingml/2006/main" flipV="1">
          <a:off x="2500707" y="2149503"/>
          <a:ext cx="1257500" cy="37892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0.40234</cdr:x>
      <cdr:y>0.49387</cdr:y>
    </cdr:from>
    <cdr:to>
      <cdr:x>0.65316</cdr:x>
      <cdr:y>0.59223</cdr:y>
    </cdr:to>
    <cdr:sp macro="" textlink="'TODA LA BASE '!$P$67:$R$71">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770982" y="1461631"/>
          <a:ext cx="1104044" cy="29110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C140AF8B-58CF-494E-B90A-509D8FF8BAFD}" type="TxLink">
            <a:rPr lang="en-US" sz="1800" b="0" i="0" u="none" strike="noStrike">
              <a:solidFill>
                <a:schemeClr val="bg1"/>
              </a:solidFill>
              <a:latin typeface="Arial"/>
              <a:cs typeface="Arial"/>
            </a:rPr>
            <a:pPr algn="ctr"/>
            <a:t>410%</a:t>
          </a:fld>
          <a:endParaRPr lang="es-CO" sz="1800">
            <a:solidFill>
              <a:schemeClr val="bg1"/>
            </a:solidFill>
          </a:endParaRPr>
        </a:p>
      </cdr:txBody>
    </cdr:sp>
  </cdr:relSizeAnchor>
  <cdr:relSizeAnchor xmlns:cdr="http://schemas.openxmlformats.org/drawingml/2006/chartDrawing">
    <cdr:from>
      <cdr:x>0.06793</cdr:x>
      <cdr:y>0.6648</cdr:y>
    </cdr:from>
    <cdr:to>
      <cdr:x>0.95438</cdr:x>
      <cdr:y>0.98227</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299010" y="1967509"/>
          <a:ext cx="3901924" cy="93957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600">
              <a:solidFill>
                <a:schemeClr val="bg1"/>
              </a:solidFill>
              <a:latin typeface="Arial" panose="020B0604020202020204" pitchFamily="34" charset="0"/>
              <a:cs typeface="Arial" panose="020B0604020202020204" pitchFamily="34" charset="0"/>
            </a:rPr>
            <a:t>Fortalecer el uso de los canales de comunicación en procura de satisfacer las necesidades y expectativas de las partes interesadas.</a:t>
          </a:r>
        </a:p>
      </cdr:txBody>
    </cdr:sp>
  </cdr:relSizeAnchor>
  <cdr:relSizeAnchor xmlns:cdr="http://schemas.openxmlformats.org/drawingml/2006/chartDrawing">
    <cdr:from>
      <cdr:x>0.52775</cdr:x>
      <cdr:y>0.49387</cdr:y>
    </cdr:from>
    <cdr:to>
      <cdr:x>0.75994</cdr:x>
      <cdr:y>0.53819</cdr:y>
    </cdr:to>
    <cdr:cxnSp macro="">
      <cdr:nvCxnSpPr>
        <cdr:cNvPr id="4" name="Conector recto de flecha 3"/>
        <cdr:cNvCxnSpPr>
          <a:stCxn xmlns:a="http://schemas.openxmlformats.org/drawingml/2006/main" id="3" idx="0"/>
        </cdr:cNvCxnSpPr>
      </cdr:nvCxnSpPr>
      <cdr:spPr>
        <a:xfrm xmlns:a="http://schemas.openxmlformats.org/drawingml/2006/main">
          <a:off x="2323018" y="1461635"/>
          <a:ext cx="1022043" cy="13116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0.41068</cdr:x>
      <cdr:y>0.46706</cdr:y>
    </cdr:from>
    <cdr:to>
      <cdr:x>0.6615</cdr:x>
      <cdr:y>0.56542</cdr:y>
    </cdr:to>
    <cdr:sp macro="" textlink="'TODA LA BASE '!$P$72:$R$82">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799880" y="1384714"/>
          <a:ext cx="1099267" cy="2916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2977D5B0-CE98-4F4E-9587-A2EDB23C2477}" type="TxLink">
            <a:rPr lang="en-US" sz="1800" b="0" i="0" u="none" strike="noStrike">
              <a:solidFill>
                <a:schemeClr val="bg1"/>
              </a:solidFill>
              <a:latin typeface="Arial"/>
              <a:cs typeface="Arial"/>
            </a:rPr>
            <a:pPr algn="ctr"/>
            <a:t>62%</a:t>
          </a:fld>
          <a:endParaRPr lang="es-CO" sz="1800">
            <a:solidFill>
              <a:schemeClr val="bg1"/>
            </a:solidFill>
          </a:endParaRPr>
        </a:p>
      </cdr:txBody>
    </cdr:sp>
  </cdr:relSizeAnchor>
  <cdr:relSizeAnchor xmlns:cdr="http://schemas.openxmlformats.org/drawingml/2006/chartDrawing">
    <cdr:from>
      <cdr:x>0.0694</cdr:x>
      <cdr:y>0.70338</cdr:y>
    </cdr:from>
    <cdr:to>
      <cdr:x>0.95585</cdr:x>
      <cdr:y>0.9749</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Optimizar el uso de la capacidad productiva y operativa de la E.L.C.</a:t>
          </a:r>
        </a:p>
      </cdr:txBody>
    </cdr:sp>
  </cdr:relSizeAnchor>
  <cdr:relSizeAnchor xmlns:cdr="http://schemas.openxmlformats.org/drawingml/2006/chartDrawing">
    <cdr:from>
      <cdr:x>0.53609</cdr:x>
      <cdr:y>0.26792</cdr:y>
    </cdr:from>
    <cdr:to>
      <cdr:x>0.5959</cdr:x>
      <cdr:y>0.46706</cdr:y>
    </cdr:to>
    <cdr:cxnSp macro="">
      <cdr:nvCxnSpPr>
        <cdr:cNvPr id="4" name="Conector recto de flecha 3"/>
        <cdr:cNvCxnSpPr>
          <a:stCxn xmlns:a="http://schemas.openxmlformats.org/drawingml/2006/main" id="3" idx="0"/>
        </cdr:cNvCxnSpPr>
      </cdr:nvCxnSpPr>
      <cdr:spPr>
        <a:xfrm xmlns:a="http://schemas.openxmlformats.org/drawingml/2006/main" flipV="1">
          <a:off x="2349518" y="794318"/>
          <a:ext cx="262119" cy="59039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0.39135</cdr:x>
      <cdr:y>0.49506</cdr:y>
    </cdr:from>
    <cdr:to>
      <cdr:x>0.62389</cdr:x>
      <cdr:y>0.59342</cdr:y>
    </cdr:to>
    <cdr:sp macro="" textlink="'TODA LA BASE '!$P$31:$R$66">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641300" y="1471208"/>
          <a:ext cx="975267" cy="29230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C05909FC-528A-43D0-83A8-79FAE64A8E49}" type="TxLink">
            <a:rPr lang="en-US" sz="1800" b="0" i="0" u="none" strike="noStrike">
              <a:solidFill>
                <a:schemeClr val="bg1"/>
              </a:solidFill>
              <a:latin typeface="Arial"/>
              <a:cs typeface="Arial"/>
            </a:rPr>
            <a:pPr algn="ctr"/>
            <a:t>116%</a:t>
          </a:fld>
          <a:endParaRPr lang="es-CO" sz="1800">
            <a:solidFill>
              <a:schemeClr val="bg1"/>
            </a:solidFill>
          </a:endParaRPr>
        </a:p>
      </cdr:txBody>
    </cdr:sp>
  </cdr:relSizeAnchor>
  <cdr:relSizeAnchor xmlns:cdr="http://schemas.openxmlformats.org/drawingml/2006/chartDrawing">
    <cdr:from>
      <cdr:x>0.06793</cdr:x>
      <cdr:y>0.71075</cdr:y>
    </cdr:from>
    <cdr:to>
      <cdr:x>0.95438</cdr:x>
      <cdr:y>0.98227</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0507" y="2211036"/>
          <a:ext cx="3921449" cy="84465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400">
              <a:solidFill>
                <a:schemeClr val="bg1"/>
              </a:solidFill>
              <a:latin typeface="Arial" panose="020B0604020202020204" pitchFamily="34" charset="0"/>
              <a:cs typeface="Arial" panose="020B0604020202020204" pitchFamily="34" charset="0"/>
            </a:rPr>
            <a:t>Identificar, capturar y compartir el conocimiento y fortalecer las competencias del capital humano de la Empresa de Licores de Cundinamarca.</a:t>
          </a:r>
        </a:p>
      </cdr:txBody>
    </cdr:sp>
  </cdr:relSizeAnchor>
  <cdr:relSizeAnchor xmlns:cdr="http://schemas.openxmlformats.org/drawingml/2006/chartDrawing">
    <cdr:from>
      <cdr:x>0.50762</cdr:x>
      <cdr:y>0.49506</cdr:y>
    </cdr:from>
    <cdr:to>
      <cdr:x>0.81107</cdr:x>
      <cdr:y>0.52596</cdr:y>
    </cdr:to>
    <cdr:cxnSp macro="">
      <cdr:nvCxnSpPr>
        <cdr:cNvPr id="4" name="Conector recto de flecha 3"/>
        <cdr:cNvCxnSpPr>
          <a:stCxn xmlns:a="http://schemas.openxmlformats.org/drawingml/2006/main" id="3" idx="0"/>
        </cdr:cNvCxnSpPr>
      </cdr:nvCxnSpPr>
      <cdr:spPr>
        <a:xfrm xmlns:a="http://schemas.openxmlformats.org/drawingml/2006/main">
          <a:off x="2128947" y="1471220"/>
          <a:ext cx="1272661" cy="9182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0.40389</cdr:x>
      <cdr:y>0.56746</cdr:y>
    </cdr:from>
    <cdr:to>
      <cdr:x>0.65471</cdr:x>
      <cdr:y>0.66582</cdr:y>
    </cdr:to>
    <cdr:sp macro="" textlink="'TODA LA BASE '!#REF!">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770117" y="1682358"/>
          <a:ext cx="1099266" cy="2916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D84B61B0-356A-4A74-9EBD-FFA63F5A0224}" type="TxLink">
            <a:rPr lang="en-US" sz="1400" b="0" i="0" u="none" strike="noStrike">
              <a:solidFill>
                <a:schemeClr val="bg1"/>
              </a:solidFill>
              <a:latin typeface="Arial"/>
              <a:cs typeface="Arial"/>
            </a:rPr>
            <a:pPr algn="ctr"/>
            <a:t>0%</a:t>
          </a:fld>
          <a:endParaRPr lang="es-CO" sz="1800">
            <a:solidFill>
              <a:schemeClr val="bg1"/>
            </a:solidFill>
          </a:endParaRPr>
        </a:p>
      </cdr:txBody>
    </cdr:sp>
  </cdr:relSizeAnchor>
  <cdr:relSizeAnchor xmlns:cdr="http://schemas.openxmlformats.org/drawingml/2006/chartDrawing">
    <cdr:from>
      <cdr:x>0.0694</cdr:x>
      <cdr:y>0.70338</cdr:y>
    </cdr:from>
    <cdr:to>
      <cdr:x>0.95585</cdr:x>
      <cdr:y>0.9749</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0.40389</cdr:x>
      <cdr:y>0.56746</cdr:y>
    </cdr:from>
    <cdr:to>
      <cdr:x>0.65471</cdr:x>
      <cdr:y>0.66582</cdr:y>
    </cdr:to>
    <cdr:sp macro="" textlink="'TODA LA BASE '!$P$83:$R$88">
      <cdr:nvSpPr>
        <cdr:cNvPr id="2" name="Rectángulo: esquinas redondeadas 2">
          <a:extLst xmlns:a="http://schemas.openxmlformats.org/drawingml/2006/main">
            <a:ext uri="{FF2B5EF4-FFF2-40B4-BE49-F238E27FC236}">
              <a16:creationId xmlns="" xmlns:a16="http://schemas.microsoft.com/office/drawing/2014/main" id="{109B3D06-B374-4D16-8A9F-E76F2841F8B4}"/>
            </a:ext>
          </a:extLst>
        </cdr:cNvPr>
        <cdr:cNvSpPr/>
      </cdr:nvSpPr>
      <cdr:spPr>
        <a:xfrm xmlns:a="http://schemas.openxmlformats.org/drawingml/2006/main">
          <a:off x="1770117" y="1682358"/>
          <a:ext cx="1099266" cy="291612"/>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D2DFB3C4-8255-4C93-A502-DE8AD1373220}" type="TxLink">
            <a:rPr lang="en-US" sz="1800" b="0" i="0" u="none" strike="noStrike">
              <a:solidFill>
                <a:schemeClr val="bg1"/>
              </a:solidFill>
              <a:latin typeface="Arial"/>
              <a:cs typeface="Arial"/>
            </a:rPr>
            <a:pPr algn="ctr"/>
            <a:t>55%</a:t>
          </a:fld>
          <a:endParaRPr lang="es-CO" sz="1800">
            <a:solidFill>
              <a:schemeClr val="bg1"/>
            </a:solidFill>
          </a:endParaRPr>
        </a:p>
      </cdr:txBody>
    </cdr:sp>
  </cdr:relSizeAnchor>
  <cdr:relSizeAnchor xmlns:cdr="http://schemas.openxmlformats.org/drawingml/2006/chartDrawing">
    <cdr:from>
      <cdr:x>0.0694</cdr:x>
      <cdr:y>0.70338</cdr:y>
    </cdr:from>
    <cdr:to>
      <cdr:x>0.95585</cdr:x>
      <cdr:y>0.9749</cdr:y>
    </cdr:to>
    <cdr:sp macro="" textlink="">
      <cdr:nvSpPr>
        <cdr:cNvPr id="4" name="Rectángulo: esquinas redondeadas 4">
          <a:extLst xmlns:a="http://schemas.openxmlformats.org/drawingml/2006/main">
            <a:ext uri="{FF2B5EF4-FFF2-40B4-BE49-F238E27FC236}">
              <a16:creationId xmlns="" xmlns:a16="http://schemas.microsoft.com/office/drawing/2014/main"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400">
              <a:solidFill>
                <a:schemeClr val="bg1"/>
              </a:solidFill>
              <a:latin typeface="Arial" panose="020B0604020202020204" pitchFamily="34" charset="0"/>
              <a:cs typeface="Arial" panose="020B0604020202020204" pitchFamily="34" charset="0"/>
            </a:rPr>
            <a:t>Brindar asesoría Jurídica oportuna, con credibilidad, eficacia y certidumbre jurídica, con respecto a la normatividad vigente aplicable..</a:t>
          </a:r>
        </a:p>
      </cdr:txBody>
    </cdr:sp>
  </cdr:relSizeAnchor>
  <cdr:relSizeAnchor xmlns:cdr="http://schemas.openxmlformats.org/drawingml/2006/chartDrawing">
    <cdr:from>
      <cdr:x>0.5293</cdr:x>
      <cdr:y>0.25912</cdr:y>
    </cdr:from>
    <cdr:to>
      <cdr:x>0.5625</cdr:x>
      <cdr:y>0.56746</cdr:y>
    </cdr:to>
    <cdr:cxnSp macro="">
      <cdr:nvCxnSpPr>
        <cdr:cNvPr id="6" name="Conector recto de flecha 5"/>
        <cdr:cNvCxnSpPr>
          <a:stCxn xmlns:a="http://schemas.openxmlformats.org/drawingml/2006/main" id="2" idx="0"/>
        </cdr:cNvCxnSpPr>
      </cdr:nvCxnSpPr>
      <cdr:spPr>
        <a:xfrm xmlns:a="http://schemas.openxmlformats.org/drawingml/2006/main" flipV="1">
          <a:off x="2223337" y="910913"/>
          <a:ext cx="139458" cy="108393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0.0694</cdr:x>
      <cdr:y>0.70338</cdr:y>
    </cdr:from>
    <cdr:to>
      <cdr:x>0.95585</cdr:x>
      <cdr:y>0.9749</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0.0694</cdr:x>
      <cdr:y>0.70338</cdr:y>
    </cdr:from>
    <cdr:to>
      <cdr:x>0.95585</cdr:x>
      <cdr:y>0.9749</cdr:y>
    </cdr:to>
    <cdr:sp macro="" textlink="">
      <cdr:nvSpPr>
        <cdr:cNvPr id="4" name="Rectángulo: esquinas redondeadas 4">
          <a:extLst xmlns:a="http://schemas.openxmlformats.org/drawingml/2006/main">
            <a:ext uri="{FF2B5EF4-FFF2-40B4-BE49-F238E27FC236}">
              <a16:creationId xmlns="" xmlns:a16="http://schemas.microsoft.com/office/drawing/2014/main"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0.0694</cdr:x>
      <cdr:y>0.70338</cdr:y>
    </cdr:from>
    <cdr:to>
      <cdr:x>0.95585</cdr:x>
      <cdr:y>0.9749</cdr:y>
    </cdr:to>
    <cdr:sp macro="" textlink="">
      <cdr:nvSpPr>
        <cdr:cNvPr id="7" name="Rectángulo: esquinas redondeadas 4">
          <a:extLst xmlns:a="http://schemas.openxmlformats.org/drawingml/2006/main">
            <a:ext uri="{FF2B5EF4-FFF2-40B4-BE49-F238E27FC236}">
              <a16:creationId xmlns="" xmlns:a16="http://schemas.microsoft.com/office/drawing/2014/main"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0.38691</cdr:x>
      <cdr:y>0.47572</cdr:y>
    </cdr:from>
    <cdr:to>
      <cdr:x>0.63773</cdr:x>
      <cdr:y>0.57408</cdr:y>
    </cdr:to>
    <cdr:sp macro="" textlink="'TODA LA BASE '!$P$89:$R$93">
      <cdr:nvSpPr>
        <cdr:cNvPr id="8"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695712" y="1543441"/>
          <a:ext cx="1099266" cy="319124"/>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B62E4A49-0692-47EA-AE43-3296470A359C}" type="TxLink">
            <a:rPr lang="en-US" sz="1800" b="0" i="0" u="none" strike="noStrike">
              <a:solidFill>
                <a:schemeClr val="bg1"/>
              </a:solidFill>
              <a:latin typeface="Arial"/>
              <a:cs typeface="Arial"/>
            </a:rPr>
            <a:pPr algn="ctr"/>
            <a:t>36%</a:t>
          </a:fld>
          <a:endParaRPr lang="es-CO" sz="1800">
            <a:solidFill>
              <a:schemeClr val="bg1"/>
            </a:solidFill>
          </a:endParaRPr>
        </a:p>
      </cdr:txBody>
    </cdr:sp>
  </cdr:relSizeAnchor>
  <cdr:relSizeAnchor xmlns:cdr="http://schemas.openxmlformats.org/drawingml/2006/chartDrawing">
    <cdr:from>
      <cdr:x>0.0694</cdr:x>
      <cdr:y>0.61468</cdr:y>
    </cdr:from>
    <cdr:to>
      <cdr:x>0.95585</cdr:x>
      <cdr:y>0.9749</cdr:y>
    </cdr:to>
    <cdr:sp macro="" textlink="">
      <cdr:nvSpPr>
        <cdr:cNvPr id="9"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59" y="1994297"/>
          <a:ext cx="3885035" cy="116872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Realizar acciones para prevenir enfermedades laborales, accidentes e incidentes de trabajo, y para brindar un ambiente sano y seguro tanto a los servidores públicos como a nuestros usuarios. Gestión SST.</a:t>
          </a:r>
        </a:p>
      </cdr:txBody>
    </cdr:sp>
  </cdr:relSizeAnchor>
  <cdr:relSizeAnchor xmlns:cdr="http://schemas.openxmlformats.org/drawingml/2006/chartDrawing">
    <cdr:from>
      <cdr:x>0.41687</cdr:x>
      <cdr:y>0.2616</cdr:y>
    </cdr:from>
    <cdr:to>
      <cdr:x>0.51232</cdr:x>
      <cdr:y>0.47572</cdr:y>
    </cdr:to>
    <cdr:cxnSp macro="">
      <cdr:nvCxnSpPr>
        <cdr:cNvPr id="10" name="Conector recto de flecha 9"/>
        <cdr:cNvCxnSpPr>
          <a:stCxn xmlns:a="http://schemas.openxmlformats.org/drawingml/2006/main" id="8" idx="0"/>
        </cdr:cNvCxnSpPr>
      </cdr:nvCxnSpPr>
      <cdr:spPr>
        <a:xfrm xmlns:a="http://schemas.openxmlformats.org/drawingml/2006/main" flipH="1" flipV="1">
          <a:off x="1827014" y="922735"/>
          <a:ext cx="418326" cy="75523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0.0694</cdr:x>
      <cdr:y>0.70338</cdr:y>
    </cdr:from>
    <cdr:to>
      <cdr:x>0.95585</cdr:x>
      <cdr:y>0.9749</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0.0694</cdr:x>
      <cdr:y>0.70338</cdr:y>
    </cdr:from>
    <cdr:to>
      <cdr:x>0.95585</cdr:x>
      <cdr:y>0.9749</cdr:y>
    </cdr:to>
    <cdr:sp macro="" textlink="">
      <cdr:nvSpPr>
        <cdr:cNvPr id="4" name="Rectángulo: esquinas redondeadas 4">
          <a:extLst xmlns:a="http://schemas.openxmlformats.org/drawingml/2006/main">
            <a:ext uri="{FF2B5EF4-FFF2-40B4-BE49-F238E27FC236}">
              <a16:creationId xmlns="" xmlns:a16="http://schemas.microsoft.com/office/drawing/2014/main"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0.0694</cdr:x>
      <cdr:y>0.70338</cdr:y>
    </cdr:from>
    <cdr:to>
      <cdr:x>0.95585</cdr:x>
      <cdr:y>0.9749</cdr:y>
    </cdr:to>
    <cdr:sp macro="" textlink="">
      <cdr:nvSpPr>
        <cdr:cNvPr id="7" name="Rectángulo: esquinas redondeadas 4">
          <a:extLst xmlns:a="http://schemas.openxmlformats.org/drawingml/2006/main">
            <a:ext uri="{FF2B5EF4-FFF2-40B4-BE49-F238E27FC236}">
              <a16:creationId xmlns="" xmlns:a16="http://schemas.microsoft.com/office/drawing/2014/main"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0.42426</cdr:x>
      <cdr:y>0.47496</cdr:y>
    </cdr:from>
    <cdr:to>
      <cdr:x>0.67508</cdr:x>
      <cdr:y>0.57332</cdr:y>
    </cdr:to>
    <cdr:sp macro="" textlink="'TODA LA BASE '!$P$94:$R$102">
      <cdr:nvSpPr>
        <cdr:cNvPr id="8"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859422" y="1528288"/>
          <a:ext cx="1099267" cy="31649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432E8D7C-0065-4B81-8F9B-AF8E41521209}" type="TxLink">
            <a:rPr lang="en-US" sz="1800" b="0" i="0" u="none" strike="noStrike">
              <a:solidFill>
                <a:schemeClr val="bg1"/>
              </a:solidFill>
              <a:latin typeface="Arial"/>
              <a:cs typeface="Arial"/>
            </a:rPr>
            <a:pPr algn="ctr"/>
            <a:t>72%</a:t>
          </a:fld>
          <a:endParaRPr lang="es-CO" sz="1800">
            <a:solidFill>
              <a:schemeClr val="bg1"/>
            </a:solidFill>
          </a:endParaRPr>
        </a:p>
      </cdr:txBody>
    </cdr:sp>
  </cdr:relSizeAnchor>
  <cdr:relSizeAnchor xmlns:cdr="http://schemas.openxmlformats.org/drawingml/2006/chartDrawing">
    <cdr:from>
      <cdr:x>0.0694</cdr:x>
      <cdr:y>0.70338</cdr:y>
    </cdr:from>
    <cdr:to>
      <cdr:x>0.95585</cdr:x>
      <cdr:y>0.9749</cdr:y>
    </cdr:to>
    <cdr:sp macro="" textlink="">
      <cdr:nvSpPr>
        <cdr:cNvPr id="9"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Fomentar espacios de uso de metodologías de innovación como un factor estratégico clave para la efectividad de la gestión.</a:t>
          </a:r>
        </a:p>
      </cdr:txBody>
    </cdr:sp>
  </cdr:relSizeAnchor>
  <cdr:relSizeAnchor xmlns:cdr="http://schemas.openxmlformats.org/drawingml/2006/chartDrawing">
    <cdr:from>
      <cdr:x>0.54967</cdr:x>
      <cdr:y>0.34234</cdr:y>
    </cdr:from>
    <cdr:to>
      <cdr:x>0.66721</cdr:x>
      <cdr:y>0.47496</cdr:y>
    </cdr:to>
    <cdr:cxnSp macro="">
      <cdr:nvCxnSpPr>
        <cdr:cNvPr id="10" name="Conector recto de flecha 9"/>
        <cdr:cNvCxnSpPr>
          <a:stCxn xmlns:a="http://schemas.openxmlformats.org/drawingml/2006/main" id="8" idx="0"/>
        </cdr:cNvCxnSpPr>
      </cdr:nvCxnSpPr>
      <cdr:spPr>
        <a:xfrm xmlns:a="http://schemas.openxmlformats.org/drawingml/2006/main" flipV="1">
          <a:off x="2409035" y="1208568"/>
          <a:ext cx="515140" cy="46817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0.06793</cdr:x>
      <cdr:y>0.71075</cdr:y>
    </cdr:from>
    <cdr:to>
      <cdr:x>0.95438</cdr:x>
      <cdr:y>0.98227</cdr:y>
    </cdr:to>
    <cdr:sp macro="" textlink="'CONTROL DE CALIDAD'!#REF!">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692B9622-C97A-439D-BC1B-66899B207E66}" type="TxLink">
            <a:rPr lang="en-US" sz="2400" b="0" i="0" u="none" strike="noStrike">
              <a:solidFill>
                <a:schemeClr val="bg1"/>
              </a:solidFill>
              <a:latin typeface="Arial"/>
              <a:cs typeface="Arial"/>
            </a:rPr>
            <a:pPr algn="ctr"/>
            <a:t>*Incrementar la confianza del consumidor en la calidad del producto.</a:t>
          </a:fld>
          <a:endParaRPr lang="es-CO" sz="2400">
            <a:solidFill>
              <a:schemeClr val="bg1"/>
            </a:solidFill>
          </a:endParaRPr>
        </a:p>
      </cdr:txBody>
    </cdr:sp>
  </cdr:relSizeAnchor>
  <cdr:relSizeAnchor xmlns:cdr="http://schemas.openxmlformats.org/drawingml/2006/chartDrawing">
    <cdr:from>
      <cdr:x>0.06793</cdr:x>
      <cdr:y>0.71075</cdr:y>
    </cdr:from>
    <cdr:to>
      <cdr:x>0.95438</cdr:x>
      <cdr:y>0.98227</cdr:y>
    </cdr:to>
    <cdr:sp macro="" textlink="'CONTROL DE CALIDAD'!#REF!">
      <cdr:nvSpPr>
        <cdr:cNvPr id="2"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665150" y="3615106"/>
          <a:ext cx="8679853" cy="138104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683E90C2-0758-4921-9821-C2017A23F67C}" type="TxLink">
            <a:rPr lang="en-US" sz="2400" b="0" i="0" u="none" strike="noStrike">
              <a:solidFill>
                <a:schemeClr val="bg1"/>
              </a:solidFill>
              <a:latin typeface="Arial"/>
              <a:cs typeface="Arial"/>
            </a:rPr>
            <a:pPr algn="ctr"/>
            <a:t>Generar estrategias de comunicación para incrementar la confianza del consumidor en la calidad de los productos.</a:t>
          </a:fld>
          <a:endParaRPr lang="es-CO" sz="2400">
            <a:solidFill>
              <a:schemeClr val="bg1"/>
            </a:solidFill>
          </a:endParaRPr>
        </a:p>
      </cdr:txBody>
    </cdr:sp>
  </cdr:relSizeAnchor>
  <cdr:relSizeAnchor xmlns:cdr="http://schemas.openxmlformats.org/drawingml/2006/chartDrawing">
    <cdr:from>
      <cdr:x>0.39212</cdr:x>
      <cdr:y>0.59397</cdr:y>
    </cdr:from>
    <cdr:to>
      <cdr:x>0.65114</cdr:x>
      <cdr:y>0.68014</cdr:y>
    </cdr:to>
    <cdr:sp macro="" textlink="'CONTROL DE CALIDAD'!$P$10">
      <cdr:nvSpPr>
        <cdr:cNvPr id="7"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5779808" y="3580653"/>
          <a:ext cx="3817990" cy="51949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64A0F3FC-A176-4972-8BBD-A2C2D5196976}" type="TxLink">
            <a:rPr lang="en-US" sz="1400" b="0" i="0" u="none" strike="noStrike">
              <a:solidFill>
                <a:schemeClr val="bg1"/>
              </a:solidFill>
              <a:latin typeface="Arial"/>
              <a:cs typeface="Arial"/>
            </a:rPr>
            <a:pPr algn="ctr"/>
            <a:t>200%</a:t>
          </a:fld>
          <a:endParaRPr lang="es-CO" sz="2500">
            <a:solidFill>
              <a:schemeClr val="bg1"/>
            </a:solidFil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0.0694</cdr:x>
      <cdr:y>0.70338</cdr:y>
    </cdr:from>
    <cdr:to>
      <cdr:x>0.95585</cdr:x>
      <cdr:y>0.9749</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0.0694</cdr:x>
      <cdr:y>0.70338</cdr:y>
    </cdr:from>
    <cdr:to>
      <cdr:x>0.95585</cdr:x>
      <cdr:y>0.9749</cdr:y>
    </cdr:to>
    <cdr:sp macro="" textlink="">
      <cdr:nvSpPr>
        <cdr:cNvPr id="4" name="Rectángulo: esquinas redondeadas 4">
          <a:extLst xmlns:a="http://schemas.openxmlformats.org/drawingml/2006/main">
            <a:ext uri="{FF2B5EF4-FFF2-40B4-BE49-F238E27FC236}">
              <a16:creationId xmlns="" xmlns:a16="http://schemas.microsoft.com/office/drawing/2014/main"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Fomentar e implementar estrategias de operación y producción más limpia encaminadas a la disminución de nuestra huella de carbono..</a:t>
          </a:r>
        </a:p>
      </cdr:txBody>
    </cdr:sp>
  </cdr:relSizeAnchor>
  <cdr:relSizeAnchor xmlns:cdr="http://schemas.openxmlformats.org/drawingml/2006/chartDrawing">
    <cdr:from>
      <cdr:x>0.0694</cdr:x>
      <cdr:y>0.70338</cdr:y>
    </cdr:from>
    <cdr:to>
      <cdr:x>0.95585</cdr:x>
      <cdr:y>0.9749</cdr:y>
    </cdr:to>
    <cdr:sp macro="" textlink="">
      <cdr:nvSpPr>
        <cdr:cNvPr id="7" name="Rectángulo: esquinas redondeadas 4">
          <a:extLst xmlns:a="http://schemas.openxmlformats.org/drawingml/2006/main">
            <a:ext uri="{FF2B5EF4-FFF2-40B4-BE49-F238E27FC236}">
              <a16:creationId xmlns="" xmlns:a16="http://schemas.microsoft.com/office/drawing/2014/main"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0.41068</cdr:x>
      <cdr:y>0.45539</cdr:y>
    </cdr:from>
    <cdr:to>
      <cdr:x>0.6615</cdr:x>
      <cdr:y>0.55375</cdr:y>
    </cdr:to>
    <cdr:sp macro="" textlink="'TODA LA BASE '!$P$106:$R$107">
      <cdr:nvSpPr>
        <cdr:cNvPr id="8"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1799891" y="1572380"/>
          <a:ext cx="1099266" cy="33961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A705B7F7-1352-4DD2-9331-5561CE2494C8}" type="TxLink">
            <a:rPr lang="en-US" sz="1800" b="0" i="0" u="none" strike="noStrike">
              <a:solidFill>
                <a:schemeClr val="bg1"/>
              </a:solidFill>
              <a:latin typeface="Arial"/>
              <a:cs typeface="Arial"/>
            </a:rPr>
            <a:pPr algn="ctr"/>
            <a:t>5%</a:t>
          </a:fld>
          <a:endParaRPr lang="es-CO" sz="1800">
            <a:solidFill>
              <a:schemeClr val="bg1"/>
            </a:solidFill>
          </a:endParaRPr>
        </a:p>
      </cdr:txBody>
    </cdr:sp>
  </cdr:relSizeAnchor>
  <cdr:relSizeAnchor xmlns:cdr="http://schemas.openxmlformats.org/drawingml/2006/chartDrawing">
    <cdr:from>
      <cdr:x>0.0694</cdr:x>
      <cdr:y>0.70338</cdr:y>
    </cdr:from>
    <cdr:to>
      <cdr:x>0.95585</cdr:x>
      <cdr:y>0.9749</cdr:y>
    </cdr:to>
    <cdr:sp macro="" textlink="">
      <cdr:nvSpPr>
        <cdr:cNvPr id="9"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Disminuir la frecuencia y permanencia de los impactos ambientales negativos generados por la empresa.</a:t>
          </a:r>
        </a:p>
      </cdr:txBody>
    </cdr:sp>
  </cdr:relSizeAnchor>
  <cdr:relSizeAnchor xmlns:cdr="http://schemas.openxmlformats.org/drawingml/2006/chartDrawing">
    <cdr:from>
      <cdr:x>0.3006</cdr:x>
      <cdr:y>0.45539</cdr:y>
    </cdr:from>
    <cdr:to>
      <cdr:x>0.53609</cdr:x>
      <cdr:y>0.5</cdr:y>
    </cdr:to>
    <cdr:cxnSp macro="">
      <cdr:nvCxnSpPr>
        <cdr:cNvPr id="10" name="Conector recto de flecha 9"/>
        <cdr:cNvCxnSpPr>
          <a:stCxn xmlns:a="http://schemas.openxmlformats.org/drawingml/2006/main" id="8" idx="0"/>
        </cdr:cNvCxnSpPr>
      </cdr:nvCxnSpPr>
      <cdr:spPr>
        <a:xfrm xmlns:a="http://schemas.openxmlformats.org/drawingml/2006/main" flipH="1">
          <a:off x="1317426" y="1572376"/>
          <a:ext cx="1032090" cy="15403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0.0694</cdr:x>
      <cdr:y>0.70338</cdr:y>
    </cdr:from>
    <cdr:to>
      <cdr:x>0.95585</cdr:x>
      <cdr:y>0.9749</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0.41445</cdr:x>
      <cdr:y>0.46832</cdr:y>
    </cdr:from>
    <cdr:to>
      <cdr:x>0.66527</cdr:x>
      <cdr:y>0.56668</cdr:y>
    </cdr:to>
    <cdr:sp macro="" textlink="'TODA LA BASE '!$P$103:$R$105">
      <cdr:nvSpPr>
        <cdr:cNvPr id="2" name="Rectángulo: esquinas redondeadas 2">
          <a:extLst xmlns:a="http://schemas.openxmlformats.org/drawingml/2006/main">
            <a:ext uri="{FF2B5EF4-FFF2-40B4-BE49-F238E27FC236}">
              <a16:creationId xmlns="" xmlns:a16="http://schemas.microsoft.com/office/drawing/2014/main" id="{109B3D06-B374-4D16-8A9F-E76F2841F8B4}"/>
            </a:ext>
          </a:extLst>
        </cdr:cNvPr>
        <cdr:cNvSpPr/>
      </cdr:nvSpPr>
      <cdr:spPr>
        <a:xfrm xmlns:a="http://schemas.openxmlformats.org/drawingml/2006/main">
          <a:off x="1752739" y="1617028"/>
          <a:ext cx="1060742" cy="33961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3BE0F719-D3F8-4CB0-AF73-EB4BDF613D43}" type="TxLink">
            <a:rPr lang="en-US" sz="1800" b="0" i="0" u="none" strike="noStrike">
              <a:solidFill>
                <a:schemeClr val="bg1"/>
              </a:solidFill>
              <a:latin typeface="Arial"/>
              <a:cs typeface="Arial"/>
            </a:rPr>
            <a:pPr algn="ctr"/>
            <a:t>21%</a:t>
          </a:fld>
          <a:endParaRPr lang="es-CO" sz="1800">
            <a:solidFill>
              <a:schemeClr val="bg1"/>
            </a:solidFill>
          </a:endParaRPr>
        </a:p>
      </cdr:txBody>
    </cdr:sp>
  </cdr:relSizeAnchor>
  <cdr:relSizeAnchor xmlns:cdr="http://schemas.openxmlformats.org/drawingml/2006/chartDrawing">
    <cdr:from>
      <cdr:x>0.0694</cdr:x>
      <cdr:y>0.70338</cdr:y>
    </cdr:from>
    <cdr:to>
      <cdr:x>0.95585</cdr:x>
      <cdr:y>0.9749</cdr:y>
    </cdr:to>
    <cdr:sp macro="" textlink="">
      <cdr:nvSpPr>
        <cdr:cNvPr id="4" name="Rectángulo: esquinas redondeadas 4">
          <a:extLst xmlns:a="http://schemas.openxmlformats.org/drawingml/2006/main">
            <a:ext uri="{FF2B5EF4-FFF2-40B4-BE49-F238E27FC236}">
              <a16:creationId xmlns="" xmlns:a16="http://schemas.microsoft.com/office/drawing/2014/main"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Fomentar e implementar estrategias de operación y producción más limpia encaminadas a la disminución de nuestra huella de carbono..</a:t>
          </a:r>
        </a:p>
      </cdr:txBody>
    </cdr:sp>
  </cdr:relSizeAnchor>
  <cdr:relSizeAnchor xmlns:cdr="http://schemas.openxmlformats.org/drawingml/2006/chartDrawing">
    <cdr:from>
      <cdr:x>0.35431</cdr:x>
      <cdr:y>0.36207</cdr:y>
    </cdr:from>
    <cdr:to>
      <cdr:x>0.53986</cdr:x>
      <cdr:y>0.46832</cdr:y>
    </cdr:to>
    <cdr:cxnSp macro="">
      <cdr:nvCxnSpPr>
        <cdr:cNvPr id="6" name="Conector recto de flecha 5"/>
        <cdr:cNvCxnSpPr>
          <a:stCxn xmlns:a="http://schemas.openxmlformats.org/drawingml/2006/main" id="2" idx="0"/>
        </cdr:cNvCxnSpPr>
      </cdr:nvCxnSpPr>
      <cdr:spPr>
        <a:xfrm xmlns:a="http://schemas.openxmlformats.org/drawingml/2006/main" flipH="1" flipV="1">
          <a:off x="1498401" y="1250156"/>
          <a:ext cx="784721" cy="36686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0.0694</cdr:x>
      <cdr:y>0.70338</cdr:y>
    </cdr:from>
    <cdr:to>
      <cdr:x>0.95585</cdr:x>
      <cdr:y>0.9749</cdr:y>
    </cdr:to>
    <cdr:sp macro="" textlink="">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Generar estrategias de comunicación para incrementar la confianza del consumidor en la calidad de los productos.</a:t>
          </a:r>
        </a:p>
      </cdr:txBody>
    </cdr:sp>
  </cdr:relSizeAnchor>
  <cdr:relSizeAnchor xmlns:cdr="http://schemas.openxmlformats.org/drawingml/2006/chartDrawing">
    <cdr:from>
      <cdr:x>0.3971</cdr:x>
      <cdr:y>0.45108</cdr:y>
    </cdr:from>
    <cdr:to>
      <cdr:x>0.64792</cdr:x>
      <cdr:y>0.54944</cdr:y>
    </cdr:to>
    <cdr:sp macro="" textlink="'TODA LA BASE '!$P$108:$R$108">
      <cdr:nvSpPr>
        <cdr:cNvPr id="2" name="Rectángulo: esquinas redondeadas 2">
          <a:extLst xmlns:a="http://schemas.openxmlformats.org/drawingml/2006/main">
            <a:ext uri="{FF2B5EF4-FFF2-40B4-BE49-F238E27FC236}">
              <a16:creationId xmlns="" xmlns:a16="http://schemas.microsoft.com/office/drawing/2014/main" id="{109B3D06-B374-4D16-8A9F-E76F2841F8B4}"/>
            </a:ext>
          </a:extLst>
        </cdr:cNvPr>
        <cdr:cNvSpPr/>
      </cdr:nvSpPr>
      <cdr:spPr>
        <a:xfrm xmlns:a="http://schemas.openxmlformats.org/drawingml/2006/main">
          <a:off x="1740360" y="1557497"/>
          <a:ext cx="1099267" cy="339618"/>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D29AD159-4746-4510-879F-A7EC67B5497B}" type="TxLink">
            <a:rPr lang="en-US" sz="1800" b="0" i="0" u="none" strike="noStrike">
              <a:solidFill>
                <a:schemeClr val="bg1"/>
              </a:solidFill>
              <a:latin typeface="Arial"/>
              <a:cs typeface="Arial"/>
            </a:rPr>
            <a:pPr algn="ctr"/>
            <a:t>4%</a:t>
          </a:fld>
          <a:endParaRPr lang="es-CO" sz="1800">
            <a:solidFill>
              <a:schemeClr val="bg1"/>
            </a:solidFill>
          </a:endParaRPr>
        </a:p>
      </cdr:txBody>
    </cdr:sp>
  </cdr:relSizeAnchor>
  <cdr:relSizeAnchor xmlns:cdr="http://schemas.openxmlformats.org/drawingml/2006/chartDrawing">
    <cdr:from>
      <cdr:x>0.0694</cdr:x>
      <cdr:y>0.70338</cdr:y>
    </cdr:from>
    <cdr:to>
      <cdr:x>0.95585</cdr:x>
      <cdr:y>0.9749</cdr:y>
    </cdr:to>
    <cdr:sp macro="" textlink="">
      <cdr:nvSpPr>
        <cdr:cNvPr id="4" name="Rectángulo: esquinas redondeadas 4">
          <a:extLst xmlns:a="http://schemas.openxmlformats.org/drawingml/2006/main">
            <a:ext uri="{FF2B5EF4-FFF2-40B4-BE49-F238E27FC236}">
              <a16:creationId xmlns="" xmlns:a16="http://schemas.microsoft.com/office/drawing/2014/main" id="{069AC4C0-4A35-408D-95A1-5A5D0434C948}"/>
            </a:ext>
          </a:extLst>
        </cdr:cNvPr>
        <cdr:cNvSpPr/>
      </cdr:nvSpPr>
      <cdr:spPr>
        <a:xfrm xmlns:a="http://schemas.openxmlformats.org/drawingml/2006/main">
          <a:off x="304177" y="2085341"/>
          <a:ext cx="3885036" cy="804986"/>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1500">
              <a:solidFill>
                <a:schemeClr val="bg1"/>
              </a:solidFill>
              <a:latin typeface="Arial" panose="020B0604020202020204" pitchFamily="34" charset="0"/>
              <a:cs typeface="Arial" panose="020B0604020202020204" pitchFamily="34" charset="0"/>
            </a:rPr>
            <a:t>Aumentar la recuperación de envases y empaques de los productos, para la disminución de los niveles de producción ilegal.</a:t>
          </a:r>
        </a:p>
      </cdr:txBody>
    </cdr:sp>
  </cdr:relSizeAnchor>
  <cdr:relSizeAnchor xmlns:cdr="http://schemas.openxmlformats.org/drawingml/2006/chartDrawing">
    <cdr:from>
      <cdr:x>0.28185</cdr:x>
      <cdr:y>0.45108</cdr:y>
    </cdr:from>
    <cdr:to>
      <cdr:x>0.52251</cdr:x>
      <cdr:y>0.52586</cdr:y>
    </cdr:to>
    <cdr:cxnSp macro="">
      <cdr:nvCxnSpPr>
        <cdr:cNvPr id="6" name="Conector recto de flecha 5"/>
        <cdr:cNvCxnSpPr>
          <a:stCxn xmlns:a="http://schemas.openxmlformats.org/drawingml/2006/main" id="2" idx="0"/>
        </cdr:cNvCxnSpPr>
      </cdr:nvCxnSpPr>
      <cdr:spPr>
        <a:xfrm xmlns:a="http://schemas.openxmlformats.org/drawingml/2006/main" flipH="1">
          <a:off x="1235274" y="1557494"/>
          <a:ext cx="1054726" cy="2582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16</xdr:col>
      <xdr:colOff>829412</xdr:colOff>
      <xdr:row>9</xdr:row>
      <xdr:rowOff>700768</xdr:rowOff>
    </xdr:from>
    <xdr:to>
      <xdr:col>17</xdr:col>
      <xdr:colOff>13705150</xdr:colOff>
      <xdr:row>10</xdr:row>
      <xdr:rowOff>1056865</xdr:rowOff>
    </xdr:to>
    <xdr:graphicFrame macro="">
      <xdr:nvGraphicFramePr>
        <xdr:cNvPr id="3" name="Gráfico 2">
          <a:extLst>
            <a:ext uri="{FF2B5EF4-FFF2-40B4-BE49-F238E27FC236}">
              <a16:creationId xmlns:a16="http://schemas.microsoft.com/office/drawing/2014/main" xmlns=""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1530535</xdr:colOff>
      <xdr:row>1</xdr:row>
      <xdr:rowOff>260646</xdr:rowOff>
    </xdr:from>
    <xdr:to>
      <xdr:col>3</xdr:col>
      <xdr:colOff>495365</xdr:colOff>
      <xdr:row>4</xdr:row>
      <xdr:rowOff>361967</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3035" y="503101"/>
          <a:ext cx="1805012" cy="1504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0.38962</cdr:x>
      <cdr:y>0.54549</cdr:y>
    </cdr:from>
    <cdr:to>
      <cdr:x>0.64044</cdr:x>
      <cdr:y>0.64385</cdr:y>
    </cdr:to>
    <cdr:sp macro="" textlink="'GESTIÓN COMERCIAL '!$P$10">
      <cdr:nvSpPr>
        <cdr:cNvPr id="3" name="Rectángulo: esquinas redondeadas 2">
          <a:extLst xmlns:a="http://schemas.openxmlformats.org/drawingml/2006/main">
            <a:ext uri="{FF2B5EF4-FFF2-40B4-BE49-F238E27FC236}">
              <a16:creationId xmlns:a16="http://schemas.microsoft.com/office/drawing/2014/main" xmlns="" id="{109B3D06-B374-4D16-8A9F-E76F2841F8B4}"/>
            </a:ext>
          </a:extLst>
        </cdr:cNvPr>
        <cdr:cNvSpPr/>
      </cdr:nvSpPr>
      <cdr:spPr>
        <a:xfrm xmlns:a="http://schemas.openxmlformats.org/drawingml/2006/main">
          <a:off x="6288286" y="4149982"/>
          <a:ext cx="4048144" cy="748303"/>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BA148894-AC33-4FFE-AAC8-0AC1721D62E7}" type="TxLink">
            <a:rPr lang="en-US" sz="2500" b="0" i="0" u="none" strike="noStrike">
              <a:solidFill>
                <a:schemeClr val="bg1"/>
              </a:solidFill>
              <a:latin typeface="Arial"/>
              <a:cs typeface="Arial"/>
            </a:rPr>
            <a:pPr algn="ctr"/>
            <a:t>78%</a:t>
          </a:fld>
          <a:endParaRPr lang="es-CO" sz="2500">
            <a:solidFill>
              <a:schemeClr val="bg1"/>
            </a:solidFill>
          </a:endParaRPr>
        </a:p>
      </cdr:txBody>
    </cdr:sp>
  </cdr:relSizeAnchor>
  <cdr:relSizeAnchor xmlns:cdr="http://schemas.openxmlformats.org/drawingml/2006/chartDrawing">
    <cdr:from>
      <cdr:x>0.06203</cdr:x>
      <cdr:y>0.69718</cdr:y>
    </cdr:from>
    <cdr:to>
      <cdr:x>0.94848</cdr:x>
      <cdr:y>0.9687</cdr:y>
    </cdr:to>
    <cdr:sp macro="" textlink="'GESTIÓN COMERCIAL '!$D$10">
      <cdr:nvSpPr>
        <cdr:cNvPr id="5" name="Rectángulo: esquinas redondeadas 4">
          <a:extLst xmlns:a="http://schemas.openxmlformats.org/drawingml/2006/main">
            <a:ext uri="{FF2B5EF4-FFF2-40B4-BE49-F238E27FC236}">
              <a16:creationId xmlns:a16="http://schemas.microsoft.com/office/drawing/2014/main" xmlns="" id="{069AC4C0-4A35-408D-95A1-5A5D0434C948}"/>
            </a:ext>
          </a:extLst>
        </cdr:cNvPr>
        <cdr:cNvSpPr/>
      </cdr:nvSpPr>
      <cdr:spPr>
        <a:xfrm xmlns:a="http://schemas.openxmlformats.org/drawingml/2006/main">
          <a:off x="1001239" y="12865508"/>
          <a:ext cx="14308590" cy="5010521"/>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571EB782-BDEB-479F-8336-85F560ED2C4A}" type="TxLink">
            <a:rPr lang="en-US" sz="2400" b="0" i="0" u="none" strike="noStrike">
              <a:solidFill>
                <a:schemeClr val="bg1"/>
              </a:solidFill>
              <a:latin typeface="Arial"/>
              <a:cs typeface="Arial"/>
            </a:rPr>
            <a:pPr algn="ctr"/>
            <a:t>Incrementar las ventas, cobertura y mantener el posicionamiento de las marcas.</a:t>
          </a:fld>
          <a:endParaRPr lang="es-CO" sz="2400">
            <a:solidFill>
              <a:schemeClr val="bg1"/>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16</xdr:col>
      <xdr:colOff>908653</xdr:colOff>
      <xdr:row>10</xdr:row>
      <xdr:rowOff>317499</xdr:rowOff>
    </xdr:from>
    <xdr:to>
      <xdr:col>17</xdr:col>
      <xdr:colOff>13465024</xdr:colOff>
      <xdr:row>17</xdr:row>
      <xdr:rowOff>0</xdr:rowOff>
    </xdr:to>
    <xdr:graphicFrame macro="">
      <xdr:nvGraphicFramePr>
        <xdr:cNvPr id="4" name="Gráfico 3">
          <a:extLst>
            <a:ext uri="{FF2B5EF4-FFF2-40B4-BE49-F238E27FC236}">
              <a16:creationId xmlns:a16="http://schemas.microsoft.com/office/drawing/2014/main" xmlns=""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1686398</xdr:colOff>
      <xdr:row>1</xdr:row>
      <xdr:rowOff>226009</xdr:rowOff>
    </xdr:from>
    <xdr:to>
      <xdr:col>3</xdr:col>
      <xdr:colOff>651228</xdr:colOff>
      <xdr:row>4</xdr:row>
      <xdr:rowOff>327330</xdr:rowOff>
    </xdr:to>
    <xdr:pic>
      <xdr:nvPicPr>
        <xdr:cNvPr id="8" name="1 Imagen" descr="logo.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8898" y="468464"/>
          <a:ext cx="1995512" cy="1504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2909454</xdr:colOff>
      <xdr:row>17</xdr:row>
      <xdr:rowOff>0</xdr:rowOff>
    </xdr:from>
    <xdr:to>
      <xdr:col>17</xdr:col>
      <xdr:colOff>12685197</xdr:colOff>
      <xdr:row>17</xdr:row>
      <xdr:rowOff>17319</xdr:rowOff>
    </xdr:to>
    <xdr:graphicFrame macro="">
      <xdr:nvGraphicFramePr>
        <xdr:cNvPr id="14" name="Gráfico 13">
          <a:extLst>
            <a:ext uri="{FF2B5EF4-FFF2-40B4-BE49-F238E27FC236}">
              <a16:creationId xmlns:a16="http://schemas.microsoft.com/office/drawing/2014/main" xmlns=""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corera%20de%20Cundinamarca\Indicadores%20de%20Gesti&#243;n\semafo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iana.blanco.ELC\Desktop\PLANEACI&#211;N%20HOME%20OFFICE%20ACTUALIZADO\ENTREGA%20INFORMACI&#211;N%20DOCUMENTADA\SIG\SEGUIMIENTO%20OBJETIVOS%202021\JULIO\GESTI&#211;N%20COMERCIAL\PLAN_VENTAS_2021_04082021_0908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AppData\Roaming\Microsoft\Excel\OBJETIVOS_SISTEMA_INTEGRADO_GESTI&#211;N_1902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RAS"/>
      <sheetName val="Por Radar"/>
      <sheetName val="POR RADIR 2"/>
      <sheetName val="LISTA DESPLEGABLE"/>
    </sheetNames>
    <sheetDataSet>
      <sheetData sheetId="0"/>
      <sheetData sheetId="1"/>
      <sheetData sheetId="2">
        <row r="3">
          <cell r="B3">
            <v>0.1</v>
          </cell>
          <cell r="C3">
            <v>1</v>
          </cell>
        </row>
        <row r="4">
          <cell r="C4">
            <v>1</v>
          </cell>
        </row>
        <row r="5">
          <cell r="C5">
            <v>1</v>
          </cell>
        </row>
        <row r="6">
          <cell r="C6">
            <v>1</v>
          </cell>
        </row>
        <row r="7">
          <cell r="C7">
            <v>1</v>
          </cell>
        </row>
        <row r="8">
          <cell r="C8">
            <v>1</v>
          </cell>
        </row>
        <row r="9">
          <cell r="C9">
            <v>1</v>
          </cell>
        </row>
        <row r="10">
          <cell r="C10">
            <v>1</v>
          </cell>
        </row>
        <row r="11">
          <cell r="C11">
            <v>1</v>
          </cell>
        </row>
        <row r="12">
          <cell r="C12">
            <v>1</v>
          </cell>
        </row>
        <row r="13">
          <cell r="C13">
            <v>10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VENTAS 2021 V.3"/>
      <sheetName val="PLAN DE VENTAS 2021 V.4"/>
      <sheetName val="TD VENTAS LICOR ENERO"/>
      <sheetName val="REPORTE VENTAS LICOR ENERO"/>
      <sheetName val="MEDICIONES A ENERO"/>
      <sheetName val="TD VENTAS LICOR FEBRERO"/>
      <sheetName val="REPORTE VENTAS LICOR FEBRERO"/>
      <sheetName val="MEDICIONES A FEBRERO"/>
      <sheetName val="TD VENTAS LICOR MARZO"/>
      <sheetName val="REPORTE VENTAS LICOR MARZO"/>
      <sheetName val="MEDICIONES A MARZO "/>
      <sheetName val="TD VENTAS LICOR ABRIL"/>
      <sheetName val="REPORTE VENTAS LICOR ABRIL"/>
      <sheetName val="MEDICIONES A ABRIL"/>
      <sheetName val="TD VENTAS LICOR MAYO"/>
      <sheetName val="REPORTE VENTAS LICOR MAYO"/>
      <sheetName val="MEDICIONES A MAYO"/>
      <sheetName val="TD VENTAS LICOR JUNIO"/>
      <sheetName val="REPORTE VENTAS LICOR JUNIO"/>
      <sheetName val="MEDICIONES A JUNIO"/>
      <sheetName val="TD VENTAS LICOR JULIO"/>
      <sheetName val="REPORTE VENTAS LICOR JULIO"/>
      <sheetName val="MEDICIONES A JULIO"/>
      <sheetName val="ANÁLISIS META AN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E4">
            <v>35778</v>
          </cell>
        </row>
        <row r="5">
          <cell r="E5">
            <v>824226</v>
          </cell>
        </row>
        <row r="6">
          <cell r="E6">
            <v>826572</v>
          </cell>
        </row>
        <row r="7">
          <cell r="E7">
            <v>1358436</v>
          </cell>
        </row>
        <row r="8">
          <cell r="E8">
            <v>487290</v>
          </cell>
        </row>
        <row r="9">
          <cell r="E9">
            <v>1483932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 val="INSTRUCTIVO"/>
      <sheetName val="MATRIZ DE SEGUIMIENTO OBJETIVOS"/>
      <sheetName val="REVISIÓN POR LA DIRECCIÓN"/>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2.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5.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7.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5.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ive.google.com/file/d/1inrUFq0UskUbs8eusy_KGllDOKfo_L2E/view?usp=sharing" TargetMode="External"/><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
  <sheetViews>
    <sheetView workbookViewId="0">
      <selection activeCell="B2" sqref="B2:C2"/>
    </sheetView>
  </sheetViews>
  <sheetFormatPr baseColWidth="10" defaultRowHeight="15" x14ac:dyDescent="0.25"/>
  <sheetData>
    <row r="2" spans="2:3" x14ac:dyDescent="0.25">
      <c r="B2" s="207" t="s">
        <v>1</v>
      </c>
      <c r="C2" s="207"/>
    </row>
    <row r="3" spans="2:3" x14ac:dyDescent="0.25">
      <c r="B3" t="s">
        <v>23</v>
      </c>
    </row>
    <row r="4" spans="2:3" x14ac:dyDescent="0.25">
      <c r="B4" t="s">
        <v>24</v>
      </c>
    </row>
    <row r="5" spans="2:3" x14ac:dyDescent="0.25">
      <c r="B5" t="s">
        <v>25</v>
      </c>
    </row>
  </sheetData>
  <mergeCells count="1">
    <mergeCell ref="B2:C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W21"/>
  <sheetViews>
    <sheetView showGridLines="0" topLeftCell="G1" zoomScale="50" zoomScaleNormal="50" workbookViewId="0">
      <selection activeCell="H4" sqref="H4:O5"/>
    </sheetView>
  </sheetViews>
  <sheetFormatPr baseColWidth="10" defaultRowHeight="18" outlineLevelCol="1" x14ac:dyDescent="0.25"/>
  <cols>
    <col min="1" max="1" width="7.85546875" style="20" customWidth="1"/>
    <col min="2" max="2" width="9.140625" style="41" customWidth="1"/>
    <col min="3" max="3" width="42.28515625" style="20" customWidth="1"/>
    <col min="4" max="7" width="21.42578125" style="20" customWidth="1"/>
    <col min="8" max="8" width="122.85546875" style="20" customWidth="1"/>
    <col min="9" max="9" width="68.85546875" style="20" customWidth="1"/>
    <col min="10" max="10" width="69.5703125" style="20" bestFit="1" customWidth="1"/>
    <col min="11" max="11" width="56" style="20" bestFit="1" customWidth="1"/>
    <col min="12" max="12" width="72.85546875" style="20" customWidth="1"/>
    <col min="13" max="13" width="104" style="20" customWidth="1"/>
    <col min="14" max="14" width="43.85546875" style="20" customWidth="1" outlineLevel="1"/>
    <col min="15" max="15" width="51.28515625" style="40" customWidth="1" outlineLevel="1"/>
    <col min="16" max="17" width="49" style="40" hidden="1" customWidth="1"/>
    <col min="18" max="18" width="1" style="51" hidden="1" customWidth="1"/>
    <col min="19" max="21" width="43.85546875" style="40" customWidth="1"/>
    <col min="22" max="22" width="7.7109375" style="40" customWidth="1"/>
    <col min="23" max="16384" width="11.42578125" style="20"/>
  </cols>
  <sheetData>
    <row r="1" spans="2:23" ht="18.75" thickBot="1" x14ac:dyDescent="0.3">
      <c r="O1" s="20"/>
      <c r="P1" s="20"/>
      <c r="Q1" s="20"/>
      <c r="R1" s="21"/>
      <c r="S1" s="20"/>
      <c r="T1" s="20"/>
      <c r="U1" s="20"/>
      <c r="V1" s="20"/>
    </row>
    <row r="2" spans="2:23" ht="27" thickBot="1" x14ac:dyDescent="0.3">
      <c r="B2" s="279"/>
      <c r="C2" s="280"/>
      <c r="D2" s="280"/>
      <c r="E2" s="280"/>
      <c r="F2" s="280"/>
      <c r="G2" s="281"/>
      <c r="H2" s="261" t="s">
        <v>7</v>
      </c>
      <c r="I2" s="262"/>
      <c r="J2" s="262"/>
      <c r="K2" s="262"/>
      <c r="L2" s="262"/>
      <c r="M2" s="262"/>
      <c r="N2" s="262"/>
      <c r="O2" s="263"/>
      <c r="P2" s="258" t="s">
        <v>222</v>
      </c>
      <c r="Q2" s="259"/>
      <c r="R2" s="259"/>
      <c r="S2" s="259"/>
      <c r="T2" s="259"/>
      <c r="U2" s="259"/>
      <c r="V2" s="260"/>
      <c r="W2" s="22"/>
    </row>
    <row r="3" spans="2:23" ht="54.75" customHeight="1" thickBot="1" x14ac:dyDescent="0.3">
      <c r="B3" s="282"/>
      <c r="C3" s="283"/>
      <c r="D3" s="283"/>
      <c r="E3" s="283"/>
      <c r="F3" s="283"/>
      <c r="G3" s="222"/>
      <c r="H3" s="264"/>
      <c r="I3" s="265"/>
      <c r="J3" s="265"/>
      <c r="K3" s="265"/>
      <c r="L3" s="265"/>
      <c r="M3" s="265"/>
      <c r="N3" s="265"/>
      <c r="O3" s="266"/>
      <c r="P3" s="258" t="s">
        <v>223</v>
      </c>
      <c r="Q3" s="259"/>
      <c r="R3" s="259"/>
      <c r="S3" s="259"/>
      <c r="T3" s="259"/>
      <c r="U3" s="259"/>
      <c r="V3" s="260"/>
      <c r="W3" s="23"/>
    </row>
    <row r="4" spans="2:23" ht="30.75" customHeight="1" x14ac:dyDescent="0.25">
      <c r="B4" s="282"/>
      <c r="C4" s="283"/>
      <c r="D4" s="283"/>
      <c r="E4" s="283"/>
      <c r="F4" s="283"/>
      <c r="G4" s="222"/>
      <c r="H4" s="261" t="s">
        <v>296</v>
      </c>
      <c r="I4" s="262"/>
      <c r="J4" s="262"/>
      <c r="K4" s="262"/>
      <c r="L4" s="262"/>
      <c r="M4" s="262"/>
      <c r="N4" s="262"/>
      <c r="O4" s="263"/>
      <c r="P4" s="267" t="s">
        <v>27</v>
      </c>
      <c r="Q4" s="268"/>
      <c r="R4" s="268"/>
      <c r="S4" s="269"/>
      <c r="T4" s="273" t="s">
        <v>221</v>
      </c>
      <c r="U4" s="274"/>
      <c r="V4" s="275"/>
      <c r="W4" s="22"/>
    </row>
    <row r="5" spans="2:23" ht="46.5" customHeight="1" thickBot="1" x14ac:dyDescent="0.3">
      <c r="B5" s="284"/>
      <c r="C5" s="285"/>
      <c r="D5" s="285"/>
      <c r="E5" s="285"/>
      <c r="F5" s="285"/>
      <c r="G5" s="286"/>
      <c r="H5" s="264"/>
      <c r="I5" s="265"/>
      <c r="J5" s="265"/>
      <c r="K5" s="265"/>
      <c r="L5" s="265"/>
      <c r="M5" s="265"/>
      <c r="N5" s="265"/>
      <c r="O5" s="266"/>
      <c r="P5" s="270"/>
      <c r="Q5" s="271"/>
      <c r="R5" s="271"/>
      <c r="S5" s="272"/>
      <c r="T5" s="276"/>
      <c r="U5" s="277"/>
      <c r="V5" s="278"/>
      <c r="W5" s="22"/>
    </row>
    <row r="6" spans="2:23" ht="18" customHeight="1" thickBot="1" x14ac:dyDescent="0.3">
      <c r="B6" s="108"/>
      <c r="C6" s="55"/>
      <c r="D6" s="55"/>
      <c r="E6" s="55"/>
      <c r="F6" s="55"/>
      <c r="G6" s="55"/>
      <c r="H6" s="24"/>
      <c r="I6" s="24"/>
      <c r="J6" s="24"/>
      <c r="K6" s="24"/>
      <c r="L6" s="24"/>
      <c r="M6" s="24"/>
      <c r="N6" s="24"/>
      <c r="O6" s="24"/>
      <c r="P6" s="24"/>
      <c r="Q6" s="24"/>
      <c r="R6" s="25"/>
      <c r="S6" s="24"/>
      <c r="T6" s="24"/>
      <c r="U6" s="24"/>
      <c r="V6" s="24"/>
      <c r="W6" s="22"/>
    </row>
    <row r="7" spans="2:23" ht="18.75" thickBot="1" x14ac:dyDescent="0.3">
      <c r="B7" s="106"/>
      <c r="C7" s="56"/>
      <c r="D7" s="56"/>
      <c r="E7" s="56"/>
      <c r="F7" s="56"/>
      <c r="G7" s="56"/>
      <c r="H7" s="56"/>
      <c r="I7" s="56"/>
      <c r="J7" s="56"/>
      <c r="K7" s="56"/>
      <c r="L7" s="56"/>
      <c r="M7" s="56"/>
      <c r="N7" s="56"/>
      <c r="O7" s="56"/>
      <c r="P7" s="56"/>
      <c r="Q7" s="56"/>
      <c r="R7" s="57"/>
      <c r="S7" s="56"/>
      <c r="T7" s="56"/>
      <c r="U7" s="56"/>
      <c r="V7" s="58"/>
      <c r="W7" s="22"/>
    </row>
    <row r="8" spans="2:23" ht="39" customHeight="1" thickBot="1" x14ac:dyDescent="0.3">
      <c r="B8" s="10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107"/>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197.25" customHeight="1" thickBot="1" x14ac:dyDescent="0.3">
      <c r="B10" s="107">
        <v>74</v>
      </c>
      <c r="C10" s="226" t="s">
        <v>31</v>
      </c>
      <c r="D10" s="226" t="s">
        <v>97</v>
      </c>
      <c r="E10" s="226"/>
      <c r="F10" s="226"/>
      <c r="G10" s="226"/>
      <c r="H10" s="102" t="s">
        <v>162</v>
      </c>
      <c r="I10" s="102" t="s">
        <v>100</v>
      </c>
      <c r="J10" s="101" t="s">
        <v>99</v>
      </c>
      <c r="K10" s="101" t="s">
        <v>26</v>
      </c>
      <c r="L10" s="68" t="s">
        <v>19</v>
      </c>
      <c r="M10" s="66" t="s">
        <v>236</v>
      </c>
      <c r="N10" s="74">
        <v>0.3</v>
      </c>
      <c r="O10" s="80">
        <v>0</v>
      </c>
      <c r="P10" s="83"/>
      <c r="Q10" s="83"/>
      <c r="R10" s="82"/>
      <c r="S10" s="78">
        <v>0</v>
      </c>
      <c r="T10" s="78" t="s">
        <v>187</v>
      </c>
      <c r="U10" s="91" t="s">
        <v>24</v>
      </c>
      <c r="V10" s="46"/>
      <c r="W10" s="22"/>
    </row>
    <row r="11" spans="2:23" ht="208.5" customHeight="1" thickBot="1" x14ac:dyDescent="0.3">
      <c r="B11" s="107">
        <v>75</v>
      </c>
      <c r="C11" s="226"/>
      <c r="D11" s="226"/>
      <c r="E11" s="226"/>
      <c r="F11" s="226"/>
      <c r="G11" s="226"/>
      <c r="H11" s="101" t="s">
        <v>123</v>
      </c>
      <c r="I11" s="102" t="s">
        <v>100</v>
      </c>
      <c r="J11" s="101" t="s">
        <v>99</v>
      </c>
      <c r="K11" s="101" t="s">
        <v>26</v>
      </c>
      <c r="L11" s="68" t="s">
        <v>19</v>
      </c>
      <c r="M11" s="101" t="s">
        <v>275</v>
      </c>
      <c r="N11" s="74">
        <v>0.1</v>
      </c>
      <c r="O11" s="196">
        <f>(19/19)</f>
        <v>1</v>
      </c>
      <c r="P11" s="224">
        <f>(N11*O11)+(N12*O12)+(N13*O13)+(N14*O14)+(N15*O15)</f>
        <v>0.55000000000000004</v>
      </c>
      <c r="Q11" s="224"/>
      <c r="R11" s="224"/>
      <c r="S11" s="78">
        <v>1</v>
      </c>
      <c r="T11" s="78">
        <v>1</v>
      </c>
      <c r="U11" s="91" t="s">
        <v>23</v>
      </c>
      <c r="V11" s="46"/>
      <c r="W11" s="22"/>
    </row>
    <row r="12" spans="2:23" ht="207.75" customHeight="1" thickBot="1" x14ac:dyDescent="0.3">
      <c r="B12" s="107">
        <v>76</v>
      </c>
      <c r="C12" s="226"/>
      <c r="D12" s="226"/>
      <c r="E12" s="226"/>
      <c r="F12" s="226"/>
      <c r="G12" s="226"/>
      <c r="H12" s="101" t="s">
        <v>276</v>
      </c>
      <c r="I12" s="102" t="s">
        <v>100</v>
      </c>
      <c r="J12" s="101" t="s">
        <v>99</v>
      </c>
      <c r="K12" s="101" t="s">
        <v>26</v>
      </c>
      <c r="L12" s="68" t="s">
        <v>19</v>
      </c>
      <c r="M12" s="101" t="s">
        <v>183</v>
      </c>
      <c r="N12" s="74">
        <v>0.1</v>
      </c>
      <c r="O12" s="196">
        <f>(1/1)</f>
        <v>1</v>
      </c>
      <c r="P12" s="224"/>
      <c r="Q12" s="224"/>
      <c r="R12" s="224"/>
      <c r="S12" s="78">
        <v>1</v>
      </c>
      <c r="T12" s="78">
        <v>1</v>
      </c>
      <c r="U12" s="91" t="s">
        <v>23</v>
      </c>
      <c r="V12" s="46"/>
      <c r="W12" s="22"/>
    </row>
    <row r="13" spans="2:23" ht="204.75" customHeight="1" thickBot="1" x14ac:dyDescent="0.3">
      <c r="B13" s="107">
        <v>77</v>
      </c>
      <c r="C13" s="226"/>
      <c r="D13" s="226"/>
      <c r="E13" s="226"/>
      <c r="F13" s="226"/>
      <c r="G13" s="226"/>
      <c r="H13" s="101" t="s">
        <v>277</v>
      </c>
      <c r="I13" s="102" t="s">
        <v>100</v>
      </c>
      <c r="J13" s="101" t="s">
        <v>99</v>
      </c>
      <c r="K13" s="101" t="s">
        <v>26</v>
      </c>
      <c r="L13" s="68" t="s">
        <v>19</v>
      </c>
      <c r="M13" s="101" t="s">
        <v>182</v>
      </c>
      <c r="N13" s="74">
        <v>0.2</v>
      </c>
      <c r="O13" s="196">
        <f>(4/4)</f>
        <v>1</v>
      </c>
      <c r="P13" s="224"/>
      <c r="Q13" s="224"/>
      <c r="R13" s="224"/>
      <c r="S13" s="78" t="s">
        <v>274</v>
      </c>
      <c r="T13" s="78">
        <v>1</v>
      </c>
      <c r="U13" s="91" t="s">
        <v>23</v>
      </c>
      <c r="V13" s="46"/>
      <c r="W13" s="22"/>
    </row>
    <row r="14" spans="2:23" ht="186.75" customHeight="1" thickBot="1" x14ac:dyDescent="0.3">
      <c r="B14" s="107">
        <v>78</v>
      </c>
      <c r="C14" s="226"/>
      <c r="D14" s="226"/>
      <c r="E14" s="226"/>
      <c r="F14" s="226"/>
      <c r="G14" s="226"/>
      <c r="H14" s="101" t="s">
        <v>98</v>
      </c>
      <c r="I14" s="102" t="s">
        <v>100</v>
      </c>
      <c r="J14" s="101" t="s">
        <v>99</v>
      </c>
      <c r="K14" s="101" t="s">
        <v>26</v>
      </c>
      <c r="L14" s="68" t="s">
        <v>19</v>
      </c>
      <c r="M14" s="101" t="s">
        <v>101</v>
      </c>
      <c r="N14" s="74">
        <v>0.15</v>
      </c>
      <c r="O14" s="196">
        <f>(77/77)</f>
        <v>1</v>
      </c>
      <c r="P14" s="224"/>
      <c r="Q14" s="224"/>
      <c r="R14" s="224"/>
      <c r="S14" s="78" t="s">
        <v>274</v>
      </c>
      <c r="T14" s="78">
        <v>1</v>
      </c>
      <c r="U14" s="91" t="s">
        <v>23</v>
      </c>
      <c r="V14" s="46"/>
      <c r="W14" s="22"/>
    </row>
    <row r="15" spans="2:23" ht="199.5" customHeight="1" thickBot="1" x14ac:dyDescent="0.3">
      <c r="B15" s="107">
        <v>79</v>
      </c>
      <c r="C15" s="226"/>
      <c r="D15" s="226"/>
      <c r="E15" s="226"/>
      <c r="F15" s="226"/>
      <c r="G15" s="226"/>
      <c r="H15" s="101" t="s">
        <v>124</v>
      </c>
      <c r="I15" s="102" t="s">
        <v>100</v>
      </c>
      <c r="J15" s="101" t="s">
        <v>99</v>
      </c>
      <c r="K15" s="101" t="s">
        <v>26</v>
      </c>
      <c r="L15" s="68" t="s">
        <v>19</v>
      </c>
      <c r="M15" s="101" t="s">
        <v>102</v>
      </c>
      <c r="N15" s="74">
        <v>0.15</v>
      </c>
      <c r="O15" s="196">
        <v>0</v>
      </c>
      <c r="P15" s="224"/>
      <c r="Q15" s="224"/>
      <c r="R15" s="224"/>
      <c r="S15" s="78" t="s">
        <v>274</v>
      </c>
      <c r="T15" s="78">
        <v>1</v>
      </c>
      <c r="U15" s="91" t="s">
        <v>24</v>
      </c>
      <c r="V15" s="46"/>
      <c r="W15" s="22"/>
    </row>
    <row r="16" spans="2:23" ht="41.25" customHeight="1" thickBot="1" x14ac:dyDescent="0.3">
      <c r="B16" s="109"/>
      <c r="C16" s="67"/>
      <c r="D16" s="287"/>
      <c r="E16" s="287"/>
      <c r="F16" s="287"/>
      <c r="G16" s="287"/>
      <c r="H16" s="31"/>
      <c r="I16" s="31"/>
      <c r="J16" s="31"/>
      <c r="K16" s="31"/>
      <c r="L16" s="31"/>
      <c r="M16" s="31"/>
      <c r="N16" s="31"/>
      <c r="O16" s="48"/>
      <c r="P16" s="48"/>
      <c r="Q16" s="48"/>
      <c r="R16" s="49"/>
      <c r="S16" s="48"/>
      <c r="T16" s="48"/>
      <c r="U16" s="48"/>
      <c r="V16" s="50"/>
      <c r="W16" s="22"/>
    </row>
    <row r="21" spans="2:23" s="40" customFormat="1" x14ac:dyDescent="0.25">
      <c r="B21" s="41"/>
      <c r="C21" s="20"/>
      <c r="D21" s="20"/>
      <c r="E21" s="20"/>
      <c r="F21" s="20"/>
      <c r="G21" s="20"/>
      <c r="H21" s="20"/>
      <c r="I21" s="20"/>
      <c r="J21" s="20"/>
      <c r="K21" s="20"/>
      <c r="L21" s="20"/>
      <c r="M21" s="20"/>
      <c r="N21" s="34"/>
      <c r="R21" s="51"/>
      <c r="W21" s="20"/>
    </row>
  </sheetData>
  <mergeCells count="22">
    <mergeCell ref="B2:G5"/>
    <mergeCell ref="H2:O3"/>
    <mergeCell ref="P2:V2"/>
    <mergeCell ref="P3:V3"/>
    <mergeCell ref="H4:O5"/>
    <mergeCell ref="P4:S5"/>
    <mergeCell ref="T4:V5"/>
    <mergeCell ref="S8:S9"/>
    <mergeCell ref="T8:T9"/>
    <mergeCell ref="U8:U9"/>
    <mergeCell ref="V8:V9"/>
    <mergeCell ref="C8:C9"/>
    <mergeCell ref="D8:G9"/>
    <mergeCell ref="H8:L8"/>
    <mergeCell ref="M8:M9"/>
    <mergeCell ref="N8:N9"/>
    <mergeCell ref="O8:O9"/>
    <mergeCell ref="D16:G16"/>
    <mergeCell ref="C10:C15"/>
    <mergeCell ref="D10:G15"/>
    <mergeCell ref="P11:R15"/>
    <mergeCell ref="P8:R9"/>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W19"/>
  <sheetViews>
    <sheetView showGridLines="0" topLeftCell="H1" zoomScale="46" zoomScaleNormal="46" workbookViewId="0">
      <selection activeCell="H4" sqref="H4:O5"/>
    </sheetView>
  </sheetViews>
  <sheetFormatPr baseColWidth="10" defaultRowHeight="18" outlineLevelCol="1" x14ac:dyDescent="0.25"/>
  <cols>
    <col min="1" max="1" width="7.42578125" style="20" customWidth="1"/>
    <col min="2" max="2" width="10.42578125" style="41" customWidth="1"/>
    <col min="3" max="3" width="43.85546875" style="20" customWidth="1"/>
    <col min="4" max="7" width="19.5703125" style="20" customWidth="1"/>
    <col min="8" max="8" width="122.85546875" style="20" customWidth="1"/>
    <col min="9" max="9" width="68.140625"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40" customWidth="1" outlineLevel="1"/>
    <col min="16" max="17" width="49" style="40" hidden="1" customWidth="1"/>
    <col min="18" max="18" width="1" style="51" hidden="1" customWidth="1"/>
    <col min="19" max="21" width="43.85546875" style="40" customWidth="1"/>
    <col min="22" max="22" width="7.7109375" style="40" customWidth="1"/>
    <col min="23" max="16384" width="11.42578125" style="20"/>
  </cols>
  <sheetData>
    <row r="1" spans="2:23" ht="18.75" thickBot="1" x14ac:dyDescent="0.3">
      <c r="O1" s="20"/>
      <c r="P1" s="20"/>
      <c r="Q1" s="20"/>
      <c r="R1" s="21"/>
      <c r="S1" s="20"/>
      <c r="T1" s="20"/>
      <c r="U1" s="20"/>
      <c r="V1" s="20"/>
    </row>
    <row r="2" spans="2:23" ht="27" thickBot="1" x14ac:dyDescent="0.3">
      <c r="B2" s="279"/>
      <c r="C2" s="280"/>
      <c r="D2" s="280"/>
      <c r="E2" s="280"/>
      <c r="F2" s="280"/>
      <c r="G2" s="281"/>
      <c r="H2" s="261" t="s">
        <v>7</v>
      </c>
      <c r="I2" s="262"/>
      <c r="J2" s="262"/>
      <c r="K2" s="262"/>
      <c r="L2" s="262"/>
      <c r="M2" s="262"/>
      <c r="N2" s="262"/>
      <c r="O2" s="263"/>
      <c r="P2" s="258" t="s">
        <v>222</v>
      </c>
      <c r="Q2" s="259"/>
      <c r="R2" s="259"/>
      <c r="S2" s="259"/>
      <c r="T2" s="259"/>
      <c r="U2" s="259"/>
      <c r="V2" s="260"/>
      <c r="W2" s="22"/>
    </row>
    <row r="3" spans="2:23" ht="54.75" customHeight="1" thickBot="1" x14ac:dyDescent="0.3">
      <c r="B3" s="282"/>
      <c r="C3" s="283"/>
      <c r="D3" s="283"/>
      <c r="E3" s="283"/>
      <c r="F3" s="283"/>
      <c r="G3" s="222"/>
      <c r="H3" s="264"/>
      <c r="I3" s="265"/>
      <c r="J3" s="265"/>
      <c r="K3" s="265"/>
      <c r="L3" s="265"/>
      <c r="M3" s="265"/>
      <c r="N3" s="265"/>
      <c r="O3" s="266"/>
      <c r="P3" s="258" t="s">
        <v>223</v>
      </c>
      <c r="Q3" s="259"/>
      <c r="R3" s="259"/>
      <c r="S3" s="259"/>
      <c r="T3" s="259"/>
      <c r="U3" s="259"/>
      <c r="V3" s="260"/>
      <c r="W3" s="23"/>
    </row>
    <row r="4" spans="2:23" ht="30.75" customHeight="1" x14ac:dyDescent="0.25">
      <c r="B4" s="282"/>
      <c r="C4" s="283"/>
      <c r="D4" s="283"/>
      <c r="E4" s="283"/>
      <c r="F4" s="283"/>
      <c r="G4" s="222"/>
      <c r="H4" s="261" t="s">
        <v>296</v>
      </c>
      <c r="I4" s="262"/>
      <c r="J4" s="262"/>
      <c r="K4" s="262"/>
      <c r="L4" s="262"/>
      <c r="M4" s="262"/>
      <c r="N4" s="262"/>
      <c r="O4" s="263"/>
      <c r="P4" s="267" t="s">
        <v>27</v>
      </c>
      <c r="Q4" s="268"/>
      <c r="R4" s="268"/>
      <c r="S4" s="269"/>
      <c r="T4" s="273" t="s">
        <v>221</v>
      </c>
      <c r="U4" s="274"/>
      <c r="V4" s="275"/>
      <c r="W4" s="22"/>
    </row>
    <row r="5" spans="2:23" ht="46.5" customHeight="1" thickBot="1" x14ac:dyDescent="0.3">
      <c r="B5" s="284"/>
      <c r="C5" s="285"/>
      <c r="D5" s="285"/>
      <c r="E5" s="285"/>
      <c r="F5" s="285"/>
      <c r="G5" s="286"/>
      <c r="H5" s="264"/>
      <c r="I5" s="265"/>
      <c r="J5" s="265"/>
      <c r="K5" s="265"/>
      <c r="L5" s="265"/>
      <c r="M5" s="265"/>
      <c r="N5" s="265"/>
      <c r="O5" s="266"/>
      <c r="P5" s="270"/>
      <c r="Q5" s="271"/>
      <c r="R5" s="271"/>
      <c r="S5" s="272"/>
      <c r="T5" s="276"/>
      <c r="U5" s="277"/>
      <c r="V5" s="278"/>
      <c r="W5" s="22"/>
    </row>
    <row r="6" spans="2:23" ht="18" customHeight="1" thickBot="1" x14ac:dyDescent="0.3">
      <c r="B6" s="108"/>
      <c r="C6" s="55"/>
      <c r="D6" s="55"/>
      <c r="E6" s="55"/>
      <c r="F6" s="55"/>
      <c r="G6" s="55"/>
      <c r="H6" s="24"/>
      <c r="I6" s="24"/>
      <c r="J6" s="24"/>
      <c r="K6" s="24"/>
      <c r="L6" s="24"/>
      <c r="M6" s="24"/>
      <c r="N6" s="24"/>
      <c r="O6" s="24"/>
      <c r="P6" s="24"/>
      <c r="Q6" s="24"/>
      <c r="R6" s="25"/>
      <c r="S6" s="24"/>
      <c r="T6" s="24"/>
      <c r="U6" s="24"/>
      <c r="V6" s="26"/>
      <c r="W6" s="22"/>
    </row>
    <row r="7" spans="2:23" ht="18.75" thickBot="1" x14ac:dyDescent="0.3">
      <c r="B7" s="106"/>
      <c r="C7" s="56"/>
      <c r="D7" s="56"/>
      <c r="E7" s="56"/>
      <c r="F7" s="56"/>
      <c r="G7" s="56"/>
      <c r="H7" s="56"/>
      <c r="I7" s="56"/>
      <c r="J7" s="56"/>
      <c r="K7" s="56"/>
      <c r="L7" s="56"/>
      <c r="M7" s="56"/>
      <c r="N7" s="56"/>
      <c r="O7" s="56"/>
      <c r="P7" s="56"/>
      <c r="Q7" s="56"/>
      <c r="R7" s="57"/>
      <c r="S7" s="56"/>
      <c r="T7" s="56"/>
      <c r="U7" s="56"/>
      <c r="V7" s="58"/>
      <c r="W7" s="22"/>
    </row>
    <row r="8" spans="2:23" ht="48.75" customHeight="1" thickBot="1" x14ac:dyDescent="0.3">
      <c r="B8" s="10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107"/>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219" customHeight="1" thickBot="1" x14ac:dyDescent="0.3">
      <c r="B10" s="107">
        <v>85</v>
      </c>
      <c r="C10" s="306" t="s">
        <v>31</v>
      </c>
      <c r="D10" s="306" t="s">
        <v>41</v>
      </c>
      <c r="E10" s="306"/>
      <c r="F10" s="306"/>
      <c r="G10" s="306"/>
      <c r="H10" s="121" t="s">
        <v>162</v>
      </c>
      <c r="I10" s="121" t="s">
        <v>90</v>
      </c>
      <c r="J10" s="122" t="s">
        <v>149</v>
      </c>
      <c r="K10" s="122" t="s">
        <v>26</v>
      </c>
      <c r="L10" s="197" t="s">
        <v>19</v>
      </c>
      <c r="M10" s="123" t="s">
        <v>239</v>
      </c>
      <c r="N10" s="124">
        <v>0.15</v>
      </c>
      <c r="O10" s="125">
        <v>0</v>
      </c>
      <c r="P10" s="126"/>
      <c r="Q10" s="126"/>
      <c r="R10" s="126"/>
      <c r="S10" s="127">
        <v>0</v>
      </c>
      <c r="T10" s="127" t="s">
        <v>187</v>
      </c>
      <c r="U10" s="128"/>
      <c r="V10" s="46"/>
      <c r="W10" s="22"/>
    </row>
    <row r="11" spans="2:23" ht="349.5" customHeight="1" thickBot="1" x14ac:dyDescent="0.3">
      <c r="B11" s="107">
        <v>86</v>
      </c>
      <c r="C11" s="226"/>
      <c r="D11" s="226"/>
      <c r="E11" s="226"/>
      <c r="F11" s="226"/>
      <c r="G11" s="226"/>
      <c r="H11" s="102" t="s">
        <v>179</v>
      </c>
      <c r="I11" s="102" t="s">
        <v>178</v>
      </c>
      <c r="J11" s="101" t="s">
        <v>176</v>
      </c>
      <c r="K11" s="101" t="s">
        <v>26</v>
      </c>
      <c r="L11" s="181" t="s">
        <v>19</v>
      </c>
      <c r="M11" s="101" t="s">
        <v>240</v>
      </c>
      <c r="N11" s="74">
        <v>0.1</v>
      </c>
      <c r="O11" s="180">
        <f>19/19</f>
        <v>1</v>
      </c>
      <c r="P11" s="104"/>
      <c r="Q11" s="104"/>
      <c r="R11" s="104"/>
      <c r="S11" s="78">
        <v>0</v>
      </c>
      <c r="T11" s="78">
        <v>1</v>
      </c>
      <c r="U11" s="91" t="s">
        <v>23</v>
      </c>
      <c r="V11" s="46"/>
      <c r="W11" s="22"/>
    </row>
    <row r="12" spans="2:23" ht="349.5" customHeight="1" thickBot="1" x14ac:dyDescent="0.3">
      <c r="B12" s="107">
        <v>87</v>
      </c>
      <c r="C12" s="226"/>
      <c r="D12" s="226"/>
      <c r="E12" s="226"/>
      <c r="F12" s="226"/>
      <c r="G12" s="226"/>
      <c r="H12" s="102" t="s">
        <v>180</v>
      </c>
      <c r="I12" s="102" t="s">
        <v>178</v>
      </c>
      <c r="J12" s="101" t="s">
        <v>176</v>
      </c>
      <c r="K12" s="101" t="s">
        <v>26</v>
      </c>
      <c r="L12" s="181" t="s">
        <v>19</v>
      </c>
      <c r="M12" s="101" t="s">
        <v>190</v>
      </c>
      <c r="N12" s="74">
        <v>0.1</v>
      </c>
      <c r="O12" s="180">
        <f>5/2</f>
        <v>2.5</v>
      </c>
      <c r="P12" s="104"/>
      <c r="Q12" s="104"/>
      <c r="R12" s="104"/>
      <c r="S12" s="78">
        <v>0</v>
      </c>
      <c r="T12" s="78" t="s">
        <v>187</v>
      </c>
      <c r="U12" s="91" t="s">
        <v>23</v>
      </c>
      <c r="V12" s="46"/>
      <c r="W12" s="22"/>
    </row>
    <row r="13" spans="2:23" ht="349.5" customHeight="1" thickBot="1" x14ac:dyDescent="0.3">
      <c r="B13" s="107">
        <v>88</v>
      </c>
      <c r="C13" s="226"/>
      <c r="D13" s="226"/>
      <c r="E13" s="226"/>
      <c r="F13" s="226"/>
      <c r="G13" s="226"/>
      <c r="H13" s="102" t="s">
        <v>278</v>
      </c>
      <c r="I13" s="102" t="s">
        <v>178</v>
      </c>
      <c r="J13" s="101" t="s">
        <v>176</v>
      </c>
      <c r="K13" s="101" t="s">
        <v>26</v>
      </c>
      <c r="L13" s="181" t="s">
        <v>19</v>
      </c>
      <c r="M13" s="101" t="s">
        <v>191</v>
      </c>
      <c r="N13" s="74">
        <v>0.05</v>
      </c>
      <c r="O13" s="180">
        <f>19/19</f>
        <v>1</v>
      </c>
      <c r="P13" s="104"/>
      <c r="Q13" s="104"/>
      <c r="R13" s="104"/>
      <c r="S13" s="78">
        <v>0</v>
      </c>
      <c r="T13" s="78" t="s">
        <v>192</v>
      </c>
      <c r="U13" s="91" t="s">
        <v>23</v>
      </c>
      <c r="V13" s="46"/>
      <c r="W13" s="22"/>
    </row>
    <row r="14" spans="2:23" ht="41.25" customHeight="1" thickBot="1" x14ac:dyDescent="0.3">
      <c r="B14" s="109"/>
      <c r="C14" s="67"/>
      <c r="D14" s="287"/>
      <c r="E14" s="287"/>
      <c r="F14" s="287"/>
      <c r="G14" s="287"/>
      <c r="H14" s="31"/>
      <c r="I14" s="31"/>
      <c r="J14" s="31"/>
      <c r="K14" s="31"/>
      <c r="L14" s="31"/>
      <c r="M14" s="31"/>
      <c r="N14" s="31"/>
      <c r="O14" s="48"/>
      <c r="P14" s="48"/>
      <c r="Q14" s="48"/>
      <c r="R14" s="49"/>
      <c r="S14" s="48"/>
      <c r="T14" s="48"/>
      <c r="U14" s="48"/>
      <c r="V14" s="50"/>
      <c r="W14" s="22"/>
    </row>
    <row r="19" spans="2:23" s="40" customFormat="1" x14ac:dyDescent="0.25">
      <c r="B19" s="41"/>
      <c r="C19" s="20"/>
      <c r="D19" s="20"/>
      <c r="E19" s="20"/>
      <c r="F19" s="20"/>
      <c r="G19" s="20"/>
      <c r="H19" s="20"/>
      <c r="I19" s="20"/>
      <c r="J19" s="20"/>
      <c r="K19" s="20"/>
      <c r="L19" s="20"/>
      <c r="M19" s="20"/>
      <c r="N19" s="34"/>
      <c r="R19" s="51"/>
      <c r="W19" s="20"/>
    </row>
  </sheetData>
  <mergeCells count="21">
    <mergeCell ref="B2:G5"/>
    <mergeCell ref="H2:O3"/>
    <mergeCell ref="P2:V2"/>
    <mergeCell ref="P3:V3"/>
    <mergeCell ref="H4:O5"/>
    <mergeCell ref="P4:S5"/>
    <mergeCell ref="T4:V5"/>
    <mergeCell ref="T8:T9"/>
    <mergeCell ref="U8:U9"/>
    <mergeCell ref="V8:V9"/>
    <mergeCell ref="C8:C9"/>
    <mergeCell ref="D8:G9"/>
    <mergeCell ref="H8:L8"/>
    <mergeCell ref="M8:M9"/>
    <mergeCell ref="N8:N9"/>
    <mergeCell ref="O8:O9"/>
    <mergeCell ref="D14:G14"/>
    <mergeCell ref="C10:C13"/>
    <mergeCell ref="D10:G13"/>
    <mergeCell ref="P8:R9"/>
    <mergeCell ref="S8:S9"/>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W20"/>
  <sheetViews>
    <sheetView showGridLines="0" topLeftCell="B1" zoomScale="46" zoomScaleNormal="46" workbookViewId="0">
      <selection activeCell="I10" sqref="I10"/>
    </sheetView>
  </sheetViews>
  <sheetFormatPr baseColWidth="10" defaultRowHeight="18" outlineLevelCol="1" x14ac:dyDescent="0.25"/>
  <cols>
    <col min="1" max="1" width="7.85546875" style="20" customWidth="1"/>
    <col min="2" max="2" width="9.42578125" style="41" customWidth="1"/>
    <col min="3" max="3" width="45.42578125" style="20" customWidth="1"/>
    <col min="4" max="7" width="22.28515625" style="20" customWidth="1"/>
    <col min="8" max="8" width="122.85546875" style="20" customWidth="1"/>
    <col min="9" max="9" width="89.28515625"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40" customWidth="1" outlineLevel="1"/>
    <col min="16" max="17" width="49" style="40" hidden="1" customWidth="1"/>
    <col min="18" max="18" width="1" style="51" hidden="1" customWidth="1"/>
    <col min="19" max="21" width="43.85546875" style="40" customWidth="1"/>
    <col min="22" max="22" width="29.7109375" style="40" bestFit="1" customWidth="1"/>
    <col min="23" max="16384" width="11.42578125" style="20"/>
  </cols>
  <sheetData>
    <row r="1" spans="2:23" ht="18.75" thickBot="1" x14ac:dyDescent="0.3">
      <c r="O1" s="20"/>
      <c r="P1" s="20"/>
      <c r="Q1" s="20"/>
      <c r="R1" s="21"/>
      <c r="S1" s="20"/>
      <c r="T1" s="20"/>
      <c r="U1" s="20"/>
      <c r="V1" s="20"/>
    </row>
    <row r="2" spans="2:23" ht="24" thickBot="1" x14ac:dyDescent="0.3">
      <c r="B2" s="279"/>
      <c r="C2" s="280"/>
      <c r="D2" s="280"/>
      <c r="E2" s="280"/>
      <c r="F2" s="280"/>
      <c r="G2" s="281"/>
      <c r="H2" s="307" t="s">
        <v>7</v>
      </c>
      <c r="I2" s="308"/>
      <c r="J2" s="308"/>
      <c r="K2" s="308"/>
      <c r="L2" s="308"/>
      <c r="M2" s="308"/>
      <c r="N2" s="308"/>
      <c r="O2" s="309"/>
      <c r="P2" s="313" t="s">
        <v>222</v>
      </c>
      <c r="Q2" s="314"/>
      <c r="R2" s="314"/>
      <c r="S2" s="314"/>
      <c r="T2" s="314"/>
      <c r="U2" s="314"/>
      <c r="V2" s="315"/>
      <c r="W2" s="22"/>
    </row>
    <row r="3" spans="2:23" ht="54.75" customHeight="1" thickBot="1" x14ac:dyDescent="0.3">
      <c r="B3" s="282"/>
      <c r="C3" s="283"/>
      <c r="D3" s="283"/>
      <c r="E3" s="283"/>
      <c r="F3" s="283"/>
      <c r="G3" s="222"/>
      <c r="H3" s="310"/>
      <c r="I3" s="311"/>
      <c r="J3" s="311"/>
      <c r="K3" s="311"/>
      <c r="L3" s="311"/>
      <c r="M3" s="311"/>
      <c r="N3" s="311"/>
      <c r="O3" s="312"/>
      <c r="P3" s="313" t="s">
        <v>223</v>
      </c>
      <c r="Q3" s="314"/>
      <c r="R3" s="314"/>
      <c r="S3" s="314"/>
      <c r="T3" s="314"/>
      <c r="U3" s="314"/>
      <c r="V3" s="315"/>
      <c r="W3" s="23"/>
    </row>
    <row r="4" spans="2:23" ht="30.75" customHeight="1" x14ac:dyDescent="0.25">
      <c r="B4" s="282"/>
      <c r="C4" s="283"/>
      <c r="D4" s="283"/>
      <c r="E4" s="283"/>
      <c r="F4" s="283"/>
      <c r="G4" s="222"/>
      <c r="H4" s="307" t="s">
        <v>296</v>
      </c>
      <c r="I4" s="308"/>
      <c r="J4" s="308"/>
      <c r="K4" s="308"/>
      <c r="L4" s="308"/>
      <c r="M4" s="308"/>
      <c r="N4" s="308"/>
      <c r="O4" s="309"/>
      <c r="P4" s="316" t="s">
        <v>27</v>
      </c>
      <c r="Q4" s="317"/>
      <c r="R4" s="317"/>
      <c r="S4" s="318"/>
      <c r="T4" s="322" t="s">
        <v>221</v>
      </c>
      <c r="U4" s="323"/>
      <c r="V4" s="324"/>
      <c r="W4" s="22"/>
    </row>
    <row r="5" spans="2:23" ht="46.5" customHeight="1" thickBot="1" x14ac:dyDescent="0.3">
      <c r="B5" s="284"/>
      <c r="C5" s="285"/>
      <c r="D5" s="285"/>
      <c r="E5" s="285"/>
      <c r="F5" s="285"/>
      <c r="G5" s="286"/>
      <c r="H5" s="310"/>
      <c r="I5" s="311"/>
      <c r="J5" s="311"/>
      <c r="K5" s="311"/>
      <c r="L5" s="311"/>
      <c r="M5" s="311"/>
      <c r="N5" s="311"/>
      <c r="O5" s="312"/>
      <c r="P5" s="319"/>
      <c r="Q5" s="320"/>
      <c r="R5" s="320"/>
      <c r="S5" s="321"/>
      <c r="T5" s="325"/>
      <c r="U5" s="326"/>
      <c r="V5" s="327"/>
      <c r="W5" s="22"/>
    </row>
    <row r="6" spans="2:23" ht="18" customHeight="1" thickBot="1" x14ac:dyDescent="0.3">
      <c r="B6" s="108"/>
      <c r="C6" s="55"/>
      <c r="D6" s="55"/>
      <c r="E6" s="55"/>
      <c r="F6" s="55"/>
      <c r="G6" s="55"/>
      <c r="H6" s="24"/>
      <c r="I6" s="24"/>
      <c r="J6" s="24"/>
      <c r="K6" s="24"/>
      <c r="L6" s="24"/>
      <c r="M6" s="24"/>
      <c r="N6" s="24"/>
      <c r="O6" s="24"/>
      <c r="P6" s="24"/>
      <c r="Q6" s="24"/>
      <c r="R6" s="25"/>
      <c r="S6" s="24"/>
      <c r="T6" s="24"/>
      <c r="U6" s="24"/>
      <c r="V6" s="26"/>
      <c r="W6" s="22"/>
    </row>
    <row r="7" spans="2:23" ht="18.75" thickBot="1" x14ac:dyDescent="0.3">
      <c r="B7" s="106"/>
      <c r="C7" s="56"/>
      <c r="D7" s="56"/>
      <c r="E7" s="56"/>
      <c r="F7" s="56"/>
      <c r="G7" s="56"/>
      <c r="H7" s="56"/>
      <c r="I7" s="56"/>
      <c r="J7" s="56"/>
      <c r="K7" s="56"/>
      <c r="L7" s="56"/>
      <c r="M7" s="56"/>
      <c r="N7" s="56"/>
      <c r="O7" s="56"/>
      <c r="P7" s="56"/>
      <c r="Q7" s="56"/>
      <c r="R7" s="57"/>
      <c r="S7" s="56"/>
      <c r="T7" s="56"/>
      <c r="U7" s="56"/>
      <c r="V7" s="58"/>
      <c r="W7" s="22"/>
    </row>
    <row r="8" spans="2:23" ht="48.75" customHeight="1" thickBot="1" x14ac:dyDescent="0.3">
      <c r="B8" s="10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107"/>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144.75" customHeight="1" thickBot="1" x14ac:dyDescent="0.3">
      <c r="B10" s="107">
        <v>89</v>
      </c>
      <c r="C10" s="226" t="s">
        <v>31</v>
      </c>
      <c r="D10" s="226" t="s">
        <v>41</v>
      </c>
      <c r="E10" s="226"/>
      <c r="F10" s="226"/>
      <c r="G10" s="226"/>
      <c r="H10" s="101" t="s">
        <v>157</v>
      </c>
      <c r="I10" s="102" t="s">
        <v>90</v>
      </c>
      <c r="J10" s="101" t="s">
        <v>149</v>
      </c>
      <c r="K10" s="101" t="s">
        <v>26</v>
      </c>
      <c r="L10" s="68" t="s">
        <v>19</v>
      </c>
      <c r="M10" s="101" t="s">
        <v>47</v>
      </c>
      <c r="N10" s="74">
        <v>0.15</v>
      </c>
      <c r="O10" s="155">
        <v>1</v>
      </c>
      <c r="P10" s="224">
        <f>(N10*O10)+(N11*O11)+(N12*O12)+(N13*O13)+(N14*O14)</f>
        <v>0.32</v>
      </c>
      <c r="Q10" s="224"/>
      <c r="R10" s="224"/>
      <c r="S10" s="78">
        <v>0</v>
      </c>
      <c r="T10" s="78">
        <v>1</v>
      </c>
      <c r="U10" s="91" t="s">
        <v>23</v>
      </c>
      <c r="V10" s="46"/>
      <c r="W10" s="22"/>
    </row>
    <row r="11" spans="2:23" ht="144" customHeight="1" thickBot="1" x14ac:dyDescent="0.3">
      <c r="B11" s="107">
        <v>90</v>
      </c>
      <c r="C11" s="226"/>
      <c r="D11" s="226"/>
      <c r="E11" s="226"/>
      <c r="F11" s="226"/>
      <c r="G11" s="226"/>
      <c r="H11" s="101" t="s">
        <v>158</v>
      </c>
      <c r="I11" s="102" t="s">
        <v>90</v>
      </c>
      <c r="J11" s="101" t="s">
        <v>149</v>
      </c>
      <c r="K11" s="101" t="s">
        <v>26</v>
      </c>
      <c r="L11" s="68" t="s">
        <v>19</v>
      </c>
      <c r="M11" s="101" t="s">
        <v>279</v>
      </c>
      <c r="N11" s="74">
        <v>0.15</v>
      </c>
      <c r="O11" s="155">
        <v>1</v>
      </c>
      <c r="P11" s="104"/>
      <c r="Q11" s="104"/>
      <c r="R11" s="104"/>
      <c r="S11" s="78">
        <v>0</v>
      </c>
      <c r="T11" s="78">
        <v>1</v>
      </c>
      <c r="U11" s="91" t="s">
        <v>23</v>
      </c>
      <c r="V11" s="46"/>
      <c r="W11" s="22"/>
    </row>
    <row r="12" spans="2:23" ht="144.75" customHeight="1" thickBot="1" x14ac:dyDescent="0.3">
      <c r="B12" s="107">
        <v>91</v>
      </c>
      <c r="C12" s="226"/>
      <c r="D12" s="226"/>
      <c r="E12" s="226"/>
      <c r="F12" s="226"/>
      <c r="G12" s="226"/>
      <c r="H12" s="101" t="s">
        <v>159</v>
      </c>
      <c r="I12" s="102" t="s">
        <v>90</v>
      </c>
      <c r="J12" s="101" t="s">
        <v>149</v>
      </c>
      <c r="K12" s="101" t="s">
        <v>26</v>
      </c>
      <c r="L12" s="68" t="s">
        <v>19</v>
      </c>
      <c r="M12" s="101" t="s">
        <v>280</v>
      </c>
      <c r="N12" s="74">
        <v>0.1</v>
      </c>
      <c r="O12" s="155">
        <v>0.2</v>
      </c>
      <c r="P12" s="104"/>
      <c r="Q12" s="104"/>
      <c r="R12" s="104"/>
      <c r="S12" s="78">
        <v>0</v>
      </c>
      <c r="T12" s="78">
        <v>1</v>
      </c>
      <c r="U12" s="91" t="s">
        <v>24</v>
      </c>
      <c r="V12" s="46"/>
      <c r="W12" s="22"/>
    </row>
    <row r="13" spans="2:23" ht="144.75" customHeight="1" thickBot="1" x14ac:dyDescent="0.3">
      <c r="B13" s="107">
        <v>92</v>
      </c>
      <c r="C13" s="226"/>
      <c r="D13" s="226"/>
      <c r="E13" s="226"/>
      <c r="F13" s="226"/>
      <c r="G13" s="226"/>
      <c r="H13" s="101" t="s">
        <v>125</v>
      </c>
      <c r="I13" s="102" t="s">
        <v>90</v>
      </c>
      <c r="J13" s="101" t="s">
        <v>49</v>
      </c>
      <c r="K13" s="101" t="s">
        <v>26</v>
      </c>
      <c r="L13" s="68" t="s">
        <v>19</v>
      </c>
      <c r="M13" s="101" t="s">
        <v>281</v>
      </c>
      <c r="N13" s="74">
        <v>0.1</v>
      </c>
      <c r="O13" s="156">
        <v>0</v>
      </c>
      <c r="P13" s="104"/>
      <c r="Q13" s="104"/>
      <c r="R13" s="104"/>
      <c r="S13" s="78">
        <v>0</v>
      </c>
      <c r="T13" s="78">
        <v>1</v>
      </c>
      <c r="U13" s="91" t="s">
        <v>25</v>
      </c>
      <c r="V13" s="46"/>
      <c r="W13" s="22"/>
    </row>
    <row r="14" spans="2:23" ht="409.5" customHeight="1" thickBot="1" x14ac:dyDescent="0.3">
      <c r="B14" s="107">
        <v>93</v>
      </c>
      <c r="C14" s="226"/>
      <c r="D14" s="226"/>
      <c r="E14" s="226"/>
      <c r="F14" s="226"/>
      <c r="G14" s="226"/>
      <c r="H14" s="101" t="s">
        <v>126</v>
      </c>
      <c r="I14" s="102" t="s">
        <v>90</v>
      </c>
      <c r="J14" s="101" t="s">
        <v>49</v>
      </c>
      <c r="K14" s="101" t="s">
        <v>26</v>
      </c>
      <c r="L14" s="68" t="s">
        <v>19</v>
      </c>
      <c r="M14" s="101" t="s">
        <v>48</v>
      </c>
      <c r="N14" s="74">
        <v>0.1</v>
      </c>
      <c r="O14" s="156">
        <v>0</v>
      </c>
      <c r="P14" s="104"/>
      <c r="Q14" s="104"/>
      <c r="R14" s="104"/>
      <c r="S14" s="78">
        <v>0</v>
      </c>
      <c r="T14" s="78">
        <v>1</v>
      </c>
      <c r="U14" s="91" t="s">
        <v>25</v>
      </c>
      <c r="V14" s="46"/>
      <c r="W14" s="22"/>
    </row>
    <row r="15" spans="2:23" ht="41.25" customHeight="1" thickBot="1" x14ac:dyDescent="0.3">
      <c r="B15" s="109"/>
      <c r="C15" s="67"/>
      <c r="D15" s="287"/>
      <c r="E15" s="287"/>
      <c r="F15" s="287"/>
      <c r="G15" s="287"/>
      <c r="H15" s="31"/>
      <c r="I15" s="31"/>
      <c r="J15" s="31"/>
      <c r="K15" s="31"/>
      <c r="L15" s="31"/>
      <c r="M15" s="31"/>
      <c r="N15" s="31"/>
      <c r="O15" s="48"/>
      <c r="P15" s="48"/>
      <c r="Q15" s="48"/>
      <c r="R15" s="49"/>
      <c r="S15" s="48"/>
      <c r="T15" s="48"/>
      <c r="U15" s="48"/>
      <c r="V15" s="50"/>
      <c r="W15" s="22"/>
    </row>
    <row r="20" spans="2:23" s="40" customFormat="1" x14ac:dyDescent="0.25">
      <c r="B20" s="41"/>
      <c r="C20" s="20"/>
      <c r="D20" s="20"/>
      <c r="E20" s="20"/>
      <c r="F20" s="20"/>
      <c r="G20" s="20"/>
      <c r="H20" s="20"/>
      <c r="I20" s="20"/>
      <c r="J20" s="20"/>
      <c r="K20" s="20"/>
      <c r="L20" s="20"/>
      <c r="M20" s="20"/>
      <c r="N20" s="34"/>
      <c r="R20" s="51"/>
      <c r="W20" s="20"/>
    </row>
  </sheetData>
  <mergeCells count="22">
    <mergeCell ref="B2:G5"/>
    <mergeCell ref="H2:O3"/>
    <mergeCell ref="P2:V2"/>
    <mergeCell ref="P3:V3"/>
    <mergeCell ref="H4:O5"/>
    <mergeCell ref="P4:S5"/>
    <mergeCell ref="T4:V5"/>
    <mergeCell ref="S8:S9"/>
    <mergeCell ref="T8:T9"/>
    <mergeCell ref="U8:U9"/>
    <mergeCell ref="V8:V9"/>
    <mergeCell ref="C8:C9"/>
    <mergeCell ref="D8:G9"/>
    <mergeCell ref="H8:L8"/>
    <mergeCell ref="M8:M9"/>
    <mergeCell ref="N8:N9"/>
    <mergeCell ref="O8:O9"/>
    <mergeCell ref="D15:G15"/>
    <mergeCell ref="C10:C14"/>
    <mergeCell ref="D10:G14"/>
    <mergeCell ref="P10:R10"/>
    <mergeCell ref="P8:R9"/>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W21"/>
  <sheetViews>
    <sheetView showGridLines="0" topLeftCell="H1" zoomScale="46" zoomScaleNormal="46" workbookViewId="0">
      <selection activeCell="H4" sqref="H4:O5"/>
    </sheetView>
  </sheetViews>
  <sheetFormatPr baseColWidth="10" defaultRowHeight="18" outlineLevelCol="1" x14ac:dyDescent="0.25"/>
  <cols>
    <col min="1" max="1" width="7.85546875" style="20" customWidth="1"/>
    <col min="2" max="2" width="8.28515625" style="41" customWidth="1"/>
    <col min="3" max="3" width="75.7109375" style="20" customWidth="1"/>
    <col min="4" max="7" width="17.5703125" style="20" customWidth="1"/>
    <col min="8" max="8" width="122.85546875" style="20" customWidth="1"/>
    <col min="9" max="9" width="80.5703125"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40" customWidth="1" outlineLevel="1"/>
    <col min="16" max="17" width="49" style="40" hidden="1" customWidth="1"/>
    <col min="18" max="18" width="1" style="51" hidden="1" customWidth="1"/>
    <col min="19" max="21" width="43.85546875" style="40" customWidth="1"/>
    <col min="22" max="22" width="7.28515625" style="40" customWidth="1"/>
    <col min="23" max="16384" width="11.42578125" style="20"/>
  </cols>
  <sheetData>
    <row r="1" spans="2:23" ht="18.75" thickBot="1" x14ac:dyDescent="0.3">
      <c r="O1" s="20"/>
      <c r="P1" s="20"/>
      <c r="Q1" s="20"/>
      <c r="R1" s="21"/>
      <c r="S1" s="20"/>
      <c r="T1" s="20"/>
      <c r="U1" s="20"/>
      <c r="V1" s="20"/>
    </row>
    <row r="2" spans="2:23" ht="27" thickBot="1" x14ac:dyDescent="0.3">
      <c r="B2" s="279"/>
      <c r="C2" s="280"/>
      <c r="D2" s="280"/>
      <c r="E2" s="280"/>
      <c r="F2" s="280"/>
      <c r="G2" s="281"/>
      <c r="H2" s="261" t="s">
        <v>7</v>
      </c>
      <c r="I2" s="262"/>
      <c r="J2" s="262"/>
      <c r="K2" s="262"/>
      <c r="L2" s="262"/>
      <c r="M2" s="262"/>
      <c r="N2" s="262"/>
      <c r="O2" s="263"/>
      <c r="P2" s="258" t="s">
        <v>222</v>
      </c>
      <c r="Q2" s="259"/>
      <c r="R2" s="259"/>
      <c r="S2" s="259"/>
      <c r="T2" s="259"/>
      <c r="U2" s="259"/>
      <c r="V2" s="260"/>
      <c r="W2" s="22"/>
    </row>
    <row r="3" spans="2:23" ht="54.75" customHeight="1" thickBot="1" x14ac:dyDescent="0.3">
      <c r="B3" s="282"/>
      <c r="C3" s="283"/>
      <c r="D3" s="283"/>
      <c r="E3" s="283"/>
      <c r="F3" s="283"/>
      <c r="G3" s="222"/>
      <c r="H3" s="264"/>
      <c r="I3" s="265"/>
      <c r="J3" s="265"/>
      <c r="K3" s="265"/>
      <c r="L3" s="265"/>
      <c r="M3" s="265"/>
      <c r="N3" s="265"/>
      <c r="O3" s="266"/>
      <c r="P3" s="258" t="s">
        <v>223</v>
      </c>
      <c r="Q3" s="259"/>
      <c r="R3" s="259"/>
      <c r="S3" s="259"/>
      <c r="T3" s="259"/>
      <c r="U3" s="259"/>
      <c r="V3" s="260"/>
      <c r="W3" s="23"/>
    </row>
    <row r="4" spans="2:23" ht="30.75" customHeight="1" x14ac:dyDescent="0.25">
      <c r="B4" s="282"/>
      <c r="C4" s="283"/>
      <c r="D4" s="283"/>
      <c r="E4" s="283"/>
      <c r="F4" s="283"/>
      <c r="G4" s="222"/>
      <c r="H4" s="261" t="s">
        <v>296</v>
      </c>
      <c r="I4" s="262"/>
      <c r="J4" s="262"/>
      <c r="K4" s="262"/>
      <c r="L4" s="262"/>
      <c r="M4" s="262"/>
      <c r="N4" s="262"/>
      <c r="O4" s="263"/>
      <c r="P4" s="267" t="s">
        <v>27</v>
      </c>
      <c r="Q4" s="268"/>
      <c r="R4" s="268"/>
      <c r="S4" s="269"/>
      <c r="T4" s="273" t="s">
        <v>221</v>
      </c>
      <c r="U4" s="274"/>
      <c r="V4" s="275"/>
      <c r="W4" s="22"/>
    </row>
    <row r="5" spans="2:23" ht="69" customHeight="1" thickBot="1" x14ac:dyDescent="0.3">
      <c r="B5" s="284"/>
      <c r="C5" s="285"/>
      <c r="D5" s="285"/>
      <c r="E5" s="285"/>
      <c r="F5" s="285"/>
      <c r="G5" s="286"/>
      <c r="H5" s="264"/>
      <c r="I5" s="265"/>
      <c r="J5" s="265"/>
      <c r="K5" s="265"/>
      <c r="L5" s="265"/>
      <c r="M5" s="265"/>
      <c r="N5" s="265"/>
      <c r="O5" s="266"/>
      <c r="P5" s="270"/>
      <c r="Q5" s="271"/>
      <c r="R5" s="271"/>
      <c r="S5" s="272"/>
      <c r="T5" s="276"/>
      <c r="U5" s="277"/>
      <c r="V5" s="278"/>
      <c r="W5" s="22"/>
    </row>
    <row r="6" spans="2:23" ht="18" customHeight="1" thickBot="1" x14ac:dyDescent="0.3">
      <c r="B6" s="108"/>
      <c r="C6" s="55"/>
      <c r="D6" s="55"/>
      <c r="E6" s="55"/>
      <c r="F6" s="55"/>
      <c r="G6" s="55"/>
      <c r="H6" s="24"/>
      <c r="I6" s="24"/>
      <c r="J6" s="24"/>
      <c r="K6" s="24"/>
      <c r="L6" s="24"/>
      <c r="M6" s="24"/>
      <c r="N6" s="24"/>
      <c r="O6" s="24"/>
      <c r="P6" s="24"/>
      <c r="Q6" s="24"/>
      <c r="R6" s="25"/>
      <c r="S6" s="24"/>
      <c r="T6" s="24"/>
      <c r="U6" s="24"/>
      <c r="V6" s="26"/>
      <c r="W6" s="22"/>
    </row>
    <row r="7" spans="2:23" ht="17.25" customHeight="1" thickBot="1" x14ac:dyDescent="0.3">
      <c r="B7" s="106"/>
      <c r="C7" s="56"/>
      <c r="D7" s="56"/>
      <c r="E7" s="56"/>
      <c r="F7" s="56"/>
      <c r="G7" s="56"/>
      <c r="H7" s="56"/>
      <c r="I7" s="56"/>
      <c r="J7" s="56"/>
      <c r="K7" s="56"/>
      <c r="L7" s="56"/>
      <c r="M7" s="56"/>
      <c r="N7" s="56"/>
      <c r="O7" s="56"/>
      <c r="P7" s="56"/>
      <c r="Q7" s="56"/>
      <c r="R7" s="57"/>
      <c r="S7" s="56"/>
      <c r="T7" s="56"/>
      <c r="U7" s="56"/>
      <c r="V7" s="58"/>
      <c r="W7" s="22"/>
    </row>
    <row r="8" spans="2:23" ht="52.5" customHeight="1" thickBot="1" x14ac:dyDescent="0.3">
      <c r="B8" s="10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107"/>
      <c r="C9" s="225"/>
      <c r="D9" s="225"/>
      <c r="E9" s="225"/>
      <c r="F9" s="225"/>
      <c r="G9" s="225"/>
      <c r="H9" s="176" t="s">
        <v>247</v>
      </c>
      <c r="I9" s="42" t="s">
        <v>248</v>
      </c>
      <c r="J9" s="42" t="s">
        <v>249</v>
      </c>
      <c r="K9" s="42" t="s">
        <v>250</v>
      </c>
      <c r="L9" s="42" t="s">
        <v>251</v>
      </c>
      <c r="M9" s="225"/>
      <c r="N9" s="225"/>
      <c r="O9" s="225"/>
      <c r="P9" s="225"/>
      <c r="Q9" s="225"/>
      <c r="R9" s="225"/>
      <c r="S9" s="225"/>
      <c r="T9" s="225"/>
      <c r="U9" s="221"/>
      <c r="V9" s="222"/>
      <c r="W9" s="22"/>
    </row>
    <row r="10" spans="2:23" ht="144.75" customHeight="1" thickBot="1" x14ac:dyDescent="0.3">
      <c r="B10" s="107">
        <v>94</v>
      </c>
      <c r="C10" s="226" t="s">
        <v>224</v>
      </c>
      <c r="D10" s="226" t="s">
        <v>42</v>
      </c>
      <c r="E10" s="226"/>
      <c r="F10" s="226"/>
      <c r="G10" s="226"/>
      <c r="H10" s="177" t="s">
        <v>282</v>
      </c>
      <c r="I10" s="177" t="s">
        <v>283</v>
      </c>
      <c r="J10" s="177" t="s">
        <v>34</v>
      </c>
      <c r="K10" s="177" t="s">
        <v>2</v>
      </c>
      <c r="L10" s="181" t="s">
        <v>80</v>
      </c>
      <c r="M10" s="177" t="s">
        <v>148</v>
      </c>
      <c r="N10" s="180">
        <v>0.2</v>
      </c>
      <c r="O10" s="78">
        <f>(13/15)</f>
        <v>0.8666666666666667</v>
      </c>
      <c r="P10" s="224">
        <f>(N10*O10)+(N11*O11)+(N12*O12)</f>
        <v>0.21095605736046652</v>
      </c>
      <c r="Q10" s="224"/>
      <c r="R10" s="224"/>
      <c r="S10" s="78">
        <v>0</v>
      </c>
      <c r="T10" s="78">
        <v>1</v>
      </c>
      <c r="U10" s="91" t="s">
        <v>23</v>
      </c>
      <c r="V10" s="46"/>
      <c r="W10" s="22"/>
    </row>
    <row r="11" spans="2:23" ht="144.75" customHeight="1" thickBot="1" x14ac:dyDescent="0.3">
      <c r="B11" s="107">
        <v>95</v>
      </c>
      <c r="C11" s="226"/>
      <c r="D11" s="226"/>
      <c r="E11" s="226"/>
      <c r="F11" s="226"/>
      <c r="G11" s="226"/>
      <c r="H11" s="177" t="s">
        <v>284</v>
      </c>
      <c r="I11" s="177" t="s">
        <v>175</v>
      </c>
      <c r="J11" s="177" t="s">
        <v>34</v>
      </c>
      <c r="K11" s="177" t="s">
        <v>2</v>
      </c>
      <c r="L11" s="181" t="s">
        <v>80</v>
      </c>
      <c r="M11" s="177" t="s">
        <v>285</v>
      </c>
      <c r="N11" s="180">
        <v>0.2</v>
      </c>
      <c r="O11" s="78">
        <f>(16861/89632)</f>
        <v>0.18811362013566582</v>
      </c>
      <c r="P11" s="175"/>
      <c r="Q11" s="175"/>
      <c r="R11" s="175"/>
      <c r="S11" s="78">
        <v>0.24</v>
      </c>
      <c r="T11" s="78">
        <v>0.35</v>
      </c>
      <c r="U11" s="91" t="s">
        <v>24</v>
      </c>
      <c r="V11" s="46"/>
      <c r="W11" s="22"/>
    </row>
    <row r="12" spans="2:23" ht="141.75" customHeight="1" thickBot="1" x14ac:dyDescent="0.3">
      <c r="B12" s="107">
        <v>96</v>
      </c>
      <c r="C12" s="226"/>
      <c r="D12" s="226"/>
      <c r="E12" s="226"/>
      <c r="F12" s="226"/>
      <c r="G12" s="226"/>
      <c r="H12" s="177" t="s">
        <v>79</v>
      </c>
      <c r="I12" s="177" t="s">
        <v>145</v>
      </c>
      <c r="J12" s="177" t="s">
        <v>34</v>
      </c>
      <c r="K12" s="177" t="s">
        <v>2</v>
      </c>
      <c r="L12" s="181" t="s">
        <v>80</v>
      </c>
      <c r="M12" s="177" t="s">
        <v>147</v>
      </c>
      <c r="N12" s="180">
        <v>0.3</v>
      </c>
      <c r="O12" s="78">
        <f>(0/293)</f>
        <v>0</v>
      </c>
      <c r="P12" s="224"/>
      <c r="Q12" s="224"/>
      <c r="R12" s="224"/>
      <c r="S12" s="78">
        <v>0</v>
      </c>
      <c r="T12" s="78">
        <v>0.7</v>
      </c>
      <c r="U12" s="91" t="s">
        <v>25</v>
      </c>
      <c r="V12" s="46"/>
      <c r="W12" s="22"/>
    </row>
    <row r="13" spans="2:23" ht="207" customHeight="1" thickBot="1" x14ac:dyDescent="0.3">
      <c r="B13" s="107">
        <v>97</v>
      </c>
      <c r="C13" s="226" t="s">
        <v>224</v>
      </c>
      <c r="D13" s="226" t="s">
        <v>43</v>
      </c>
      <c r="E13" s="226"/>
      <c r="F13" s="226"/>
      <c r="G13" s="226"/>
      <c r="H13" s="177" t="s">
        <v>144</v>
      </c>
      <c r="I13" s="177" t="s">
        <v>286</v>
      </c>
      <c r="J13" s="177" t="s">
        <v>34</v>
      </c>
      <c r="K13" s="177" t="s">
        <v>2</v>
      </c>
      <c r="L13" s="181" t="s">
        <v>80</v>
      </c>
      <c r="M13" s="177" t="s">
        <v>160</v>
      </c>
      <c r="N13" s="180">
        <v>0.4</v>
      </c>
      <c r="O13" s="78">
        <f>((1313-1983)/1983)</f>
        <v>-0.33787191124558752</v>
      </c>
      <c r="P13" s="224">
        <f>(N13*O13)+(N14*O14)</f>
        <v>4.9611012038077856E-2</v>
      </c>
      <c r="Q13" s="224"/>
      <c r="R13" s="224"/>
      <c r="S13" s="78">
        <v>0</v>
      </c>
      <c r="T13" s="78">
        <v>-0.15</v>
      </c>
      <c r="U13" s="91" t="s">
        <v>23</v>
      </c>
      <c r="V13" s="46"/>
      <c r="W13" s="22"/>
    </row>
    <row r="14" spans="2:23" ht="225.75" customHeight="1" thickBot="1" x14ac:dyDescent="0.3">
      <c r="B14" s="107">
        <v>98</v>
      </c>
      <c r="C14" s="226"/>
      <c r="D14" s="226"/>
      <c r="E14" s="226"/>
      <c r="F14" s="226"/>
      <c r="G14" s="226"/>
      <c r="H14" s="177" t="s">
        <v>143</v>
      </c>
      <c r="I14" s="177" t="s">
        <v>286</v>
      </c>
      <c r="J14" s="177" t="s">
        <v>34</v>
      </c>
      <c r="K14" s="177" t="s">
        <v>2</v>
      </c>
      <c r="L14" s="181" t="s">
        <v>80</v>
      </c>
      <c r="M14" s="177" t="s">
        <v>219</v>
      </c>
      <c r="N14" s="180">
        <v>0.3</v>
      </c>
      <c r="O14" s="78">
        <f>((72.31-44.75)/44.75)</f>
        <v>0.6158659217877096</v>
      </c>
      <c r="P14" s="224"/>
      <c r="Q14" s="224"/>
      <c r="R14" s="224"/>
      <c r="S14" s="78">
        <v>0</v>
      </c>
      <c r="T14" s="78">
        <v>-0.05</v>
      </c>
      <c r="U14" s="91" t="s">
        <v>23</v>
      </c>
      <c r="V14" s="46"/>
      <c r="W14" s="22"/>
    </row>
    <row r="15" spans="2:23" ht="178.5" customHeight="1" thickBot="1" x14ac:dyDescent="0.3">
      <c r="B15" s="107">
        <v>99</v>
      </c>
      <c r="C15" s="178" t="s">
        <v>224</v>
      </c>
      <c r="D15" s="226" t="s">
        <v>44</v>
      </c>
      <c r="E15" s="226"/>
      <c r="F15" s="226"/>
      <c r="G15" s="226"/>
      <c r="H15" s="177" t="s">
        <v>81</v>
      </c>
      <c r="I15" s="177" t="s">
        <v>146</v>
      </c>
      <c r="J15" s="177" t="s">
        <v>34</v>
      </c>
      <c r="K15" s="177" t="s">
        <v>2</v>
      </c>
      <c r="L15" s="181" t="s">
        <v>80</v>
      </c>
      <c r="M15" s="177" t="s">
        <v>161</v>
      </c>
      <c r="N15" s="180">
        <v>0.7</v>
      </c>
      <c r="O15" s="78">
        <f>(23.81+2.85)/436</f>
        <v>6.1146788990825686E-2</v>
      </c>
      <c r="P15" s="224">
        <f>(N15*O15)</f>
        <v>4.2802752293577981E-2</v>
      </c>
      <c r="Q15" s="224"/>
      <c r="R15" s="224"/>
      <c r="S15" s="78">
        <v>0</v>
      </c>
      <c r="T15" s="78">
        <v>0.1</v>
      </c>
      <c r="U15" s="91" t="s">
        <v>24</v>
      </c>
      <c r="V15" s="46"/>
      <c r="W15" s="22"/>
    </row>
    <row r="16" spans="2:23" ht="41.25" customHeight="1" thickBot="1" x14ac:dyDescent="0.3">
      <c r="B16" s="109"/>
      <c r="C16" s="92"/>
      <c r="D16" s="328"/>
      <c r="E16" s="287"/>
      <c r="F16" s="287"/>
      <c r="G16" s="287"/>
      <c r="H16" s="31"/>
      <c r="I16" s="31"/>
      <c r="J16" s="31"/>
      <c r="K16" s="31"/>
      <c r="L16" s="31"/>
      <c r="M16" s="31"/>
      <c r="N16" s="31"/>
      <c r="O16" s="48"/>
      <c r="P16" s="48"/>
      <c r="Q16" s="48"/>
      <c r="R16" s="49"/>
      <c r="S16" s="48"/>
      <c r="T16" s="48"/>
      <c r="U16" s="48"/>
      <c r="V16" s="50"/>
      <c r="W16" s="22"/>
    </row>
    <row r="21" spans="2:23" s="40" customFormat="1" x14ac:dyDescent="0.25">
      <c r="B21" s="41"/>
      <c r="C21" s="20"/>
      <c r="D21" s="20"/>
      <c r="E21" s="20"/>
      <c r="F21" s="20"/>
      <c r="G21" s="20"/>
      <c r="H21" s="20"/>
      <c r="I21" s="20"/>
      <c r="J21" s="20"/>
      <c r="K21" s="20"/>
      <c r="L21" s="20"/>
      <c r="M21" s="20"/>
      <c r="N21" s="34"/>
      <c r="R21" s="51"/>
      <c r="W21" s="20"/>
    </row>
  </sheetData>
  <mergeCells count="28">
    <mergeCell ref="B2:G5"/>
    <mergeCell ref="O8:O9"/>
    <mergeCell ref="H2:O3"/>
    <mergeCell ref="P2:V2"/>
    <mergeCell ref="P3:V3"/>
    <mergeCell ref="H4:O5"/>
    <mergeCell ref="P4:S5"/>
    <mergeCell ref="T4:V5"/>
    <mergeCell ref="C8:C9"/>
    <mergeCell ref="D8:G9"/>
    <mergeCell ref="H8:L8"/>
    <mergeCell ref="M8:M9"/>
    <mergeCell ref="N8:N9"/>
    <mergeCell ref="P8:R9"/>
    <mergeCell ref="S8:S9"/>
    <mergeCell ref="T8:T9"/>
    <mergeCell ref="U8:U9"/>
    <mergeCell ref="V8:V9"/>
    <mergeCell ref="D16:G16"/>
    <mergeCell ref="C10:C12"/>
    <mergeCell ref="D10:G12"/>
    <mergeCell ref="P10:R10"/>
    <mergeCell ref="P12:R12"/>
    <mergeCell ref="C13:C14"/>
    <mergeCell ref="D13:G14"/>
    <mergeCell ref="P13:R14"/>
    <mergeCell ref="D15:G15"/>
    <mergeCell ref="P15:R15"/>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U10:U15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Y114"/>
  <sheetViews>
    <sheetView showGridLines="0" topLeftCell="H1" zoomScale="42" zoomScaleNormal="42" workbookViewId="0">
      <selection activeCell="K10" sqref="K10:K14"/>
    </sheetView>
  </sheetViews>
  <sheetFormatPr baseColWidth="10" defaultRowHeight="18" outlineLevelCol="1" x14ac:dyDescent="0.25"/>
  <cols>
    <col min="1" max="1" width="7.85546875" style="20" customWidth="1"/>
    <col min="2" max="2" width="16" style="41" customWidth="1"/>
    <col min="3" max="3" width="48.140625" style="20" customWidth="1"/>
    <col min="4" max="7" width="19.85546875" style="20" customWidth="1"/>
    <col min="8" max="8" width="122.85546875" style="20" customWidth="1"/>
    <col min="9" max="9" width="77.85546875" style="20" customWidth="1"/>
    <col min="10" max="10" width="69.5703125" style="20" bestFit="1" customWidth="1"/>
    <col min="11" max="11" width="56" style="20" bestFit="1" customWidth="1"/>
    <col min="12" max="12" width="65.140625" style="40" customWidth="1"/>
    <col min="13" max="13" width="120.42578125" style="20" customWidth="1"/>
    <col min="14" max="14" width="43.85546875" style="20" customWidth="1" outlineLevel="1"/>
    <col min="15" max="15" width="42.42578125" style="40" customWidth="1" outlineLevel="1"/>
    <col min="16" max="16" width="49" style="40" hidden="1" customWidth="1"/>
    <col min="17" max="17" width="3.5703125" style="40" hidden="1" customWidth="1"/>
    <col min="18" max="18" width="0.42578125" style="51" hidden="1" customWidth="1"/>
    <col min="19" max="19" width="82.85546875" style="40" customWidth="1"/>
    <col min="20" max="21" width="43.85546875" style="40" customWidth="1"/>
    <col min="22" max="22" width="10.28515625" style="40" customWidth="1"/>
    <col min="23" max="16384" width="11.42578125" style="20"/>
  </cols>
  <sheetData>
    <row r="1" spans="2:23" ht="18.75" thickBot="1" x14ac:dyDescent="0.3">
      <c r="V1" s="20"/>
    </row>
    <row r="2" spans="2:23" ht="27" thickBot="1" x14ac:dyDescent="0.3">
      <c r="B2" s="279"/>
      <c r="C2" s="280"/>
      <c r="D2" s="280"/>
      <c r="E2" s="280"/>
      <c r="F2" s="280"/>
      <c r="G2" s="281"/>
      <c r="H2" s="261" t="s">
        <v>7</v>
      </c>
      <c r="I2" s="262"/>
      <c r="J2" s="262"/>
      <c r="K2" s="262"/>
      <c r="L2" s="262"/>
      <c r="M2" s="262"/>
      <c r="N2" s="262"/>
      <c r="O2" s="263"/>
      <c r="P2" s="258" t="s">
        <v>222</v>
      </c>
      <c r="Q2" s="259"/>
      <c r="R2" s="259"/>
      <c r="S2" s="259"/>
      <c r="T2" s="259"/>
      <c r="U2" s="259"/>
      <c r="V2" s="260"/>
      <c r="W2" s="22"/>
    </row>
    <row r="3" spans="2:23" ht="54.75" customHeight="1" thickBot="1" x14ac:dyDescent="0.3">
      <c r="B3" s="282"/>
      <c r="C3" s="283"/>
      <c r="D3" s="283"/>
      <c r="E3" s="283"/>
      <c r="F3" s="283"/>
      <c r="G3" s="222"/>
      <c r="H3" s="264"/>
      <c r="I3" s="265"/>
      <c r="J3" s="265"/>
      <c r="K3" s="265"/>
      <c r="L3" s="265"/>
      <c r="M3" s="265"/>
      <c r="N3" s="265"/>
      <c r="O3" s="266"/>
      <c r="P3" s="258" t="s">
        <v>223</v>
      </c>
      <c r="Q3" s="259"/>
      <c r="R3" s="259"/>
      <c r="S3" s="259"/>
      <c r="T3" s="259"/>
      <c r="U3" s="259"/>
      <c r="V3" s="260"/>
      <c r="W3" s="23"/>
    </row>
    <row r="4" spans="2:23" ht="53.25" customHeight="1" x14ac:dyDescent="0.25">
      <c r="B4" s="282"/>
      <c r="C4" s="283"/>
      <c r="D4" s="283"/>
      <c r="E4" s="283"/>
      <c r="F4" s="283"/>
      <c r="G4" s="222"/>
      <c r="H4" s="261" t="s">
        <v>296</v>
      </c>
      <c r="I4" s="262"/>
      <c r="J4" s="262"/>
      <c r="K4" s="262"/>
      <c r="L4" s="262"/>
      <c r="M4" s="262"/>
      <c r="N4" s="262"/>
      <c r="O4" s="263"/>
      <c r="P4" s="363" t="s">
        <v>27</v>
      </c>
      <c r="Q4" s="364"/>
      <c r="R4" s="364"/>
      <c r="S4" s="365"/>
      <c r="T4" s="273" t="s">
        <v>221</v>
      </c>
      <c r="U4" s="274"/>
      <c r="V4" s="275"/>
      <c r="W4" s="22"/>
    </row>
    <row r="5" spans="2:23" ht="46.5" customHeight="1" thickBot="1" x14ac:dyDescent="0.3">
      <c r="B5" s="284"/>
      <c r="C5" s="285"/>
      <c r="D5" s="285"/>
      <c r="E5" s="285"/>
      <c r="F5" s="285"/>
      <c r="G5" s="286"/>
      <c r="H5" s="264"/>
      <c r="I5" s="265"/>
      <c r="J5" s="265"/>
      <c r="K5" s="265"/>
      <c r="L5" s="265"/>
      <c r="M5" s="265"/>
      <c r="N5" s="265"/>
      <c r="O5" s="266"/>
      <c r="P5" s="366"/>
      <c r="Q5" s="367"/>
      <c r="R5" s="367"/>
      <c r="S5" s="368"/>
      <c r="T5" s="276"/>
      <c r="U5" s="277"/>
      <c r="V5" s="278"/>
      <c r="W5" s="22"/>
    </row>
    <row r="6" spans="2:23" ht="18" customHeight="1" thickBot="1" x14ac:dyDescent="0.3">
      <c r="B6" s="108"/>
      <c r="C6" s="55"/>
      <c r="D6" s="55"/>
      <c r="E6" s="55"/>
      <c r="F6" s="55"/>
      <c r="G6" s="55"/>
      <c r="H6" s="24"/>
      <c r="I6" s="24"/>
      <c r="J6" s="24"/>
      <c r="K6" s="24"/>
      <c r="L6" s="142"/>
      <c r="M6" s="24"/>
      <c r="N6" s="24"/>
      <c r="O6" s="142"/>
      <c r="P6" s="142"/>
      <c r="Q6" s="142"/>
      <c r="R6" s="145"/>
      <c r="S6" s="142"/>
      <c r="T6" s="142"/>
      <c r="U6" s="142"/>
      <c r="V6" s="26"/>
      <c r="W6" s="22"/>
    </row>
    <row r="7" spans="2:23" ht="18.75" thickBot="1" x14ac:dyDescent="0.3">
      <c r="B7" s="106"/>
      <c r="C7" s="56"/>
      <c r="D7" s="56"/>
      <c r="E7" s="56"/>
      <c r="F7" s="56"/>
      <c r="G7" s="56"/>
      <c r="H7" s="56"/>
      <c r="I7" s="56"/>
      <c r="J7" s="56"/>
      <c r="K7" s="56"/>
      <c r="L7" s="146"/>
      <c r="M7" s="56"/>
      <c r="N7" s="56"/>
      <c r="O7" s="146"/>
      <c r="P7" s="146"/>
      <c r="Q7" s="146"/>
      <c r="R7" s="147"/>
      <c r="S7" s="146"/>
      <c r="T7" s="146"/>
      <c r="U7" s="146"/>
      <c r="V7" s="58"/>
      <c r="W7" s="22"/>
    </row>
    <row r="8" spans="2:23" ht="63.75" customHeight="1" thickBot="1" x14ac:dyDescent="0.3">
      <c r="B8" s="10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107"/>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88.5" customHeight="1" thickBot="1" x14ac:dyDescent="0.3">
      <c r="B10" s="148">
        <v>1</v>
      </c>
      <c r="C10" s="329" t="s">
        <v>28</v>
      </c>
      <c r="D10" s="329" t="s">
        <v>35</v>
      </c>
      <c r="E10" s="329"/>
      <c r="F10" s="329"/>
      <c r="G10" s="329"/>
      <c r="H10" s="330" t="s">
        <v>228</v>
      </c>
      <c r="I10" s="330" t="s">
        <v>86</v>
      </c>
      <c r="J10" s="330" t="s">
        <v>3</v>
      </c>
      <c r="K10" s="330" t="s">
        <v>8</v>
      </c>
      <c r="L10" s="330" t="s">
        <v>45</v>
      </c>
      <c r="M10" s="44" t="s">
        <v>226</v>
      </c>
      <c r="N10" s="110">
        <v>0.23</v>
      </c>
      <c r="O10" s="110">
        <f>'SISTEMA INTEGRADO DE GESTIÓN'!$O$10</f>
        <v>1.25</v>
      </c>
      <c r="P10" s="336">
        <f>(N10*O10)+(N11*O11)+(N12*O12)+(N13*O13)+(N14*O14)+(N15*O15)</f>
        <v>0.80400000000000005</v>
      </c>
      <c r="Q10" s="337"/>
      <c r="R10" s="338"/>
      <c r="S10" s="110">
        <v>0.94</v>
      </c>
      <c r="T10" s="78" t="s">
        <v>216</v>
      </c>
      <c r="U10" s="187" t="str">
        <f>'SISTEMA INTEGRADO DE GESTIÓN'!$U$10</f>
        <v>FAVORABLES</v>
      </c>
      <c r="V10" s="30"/>
      <c r="W10" s="22"/>
    </row>
    <row r="11" spans="2:23" ht="88.5" customHeight="1" thickBot="1" x14ac:dyDescent="0.3">
      <c r="B11" s="148">
        <v>2</v>
      </c>
      <c r="C11" s="329"/>
      <c r="D11" s="329"/>
      <c r="E11" s="329"/>
      <c r="F11" s="329"/>
      <c r="G11" s="329"/>
      <c r="H11" s="330"/>
      <c r="I11" s="330"/>
      <c r="J11" s="330"/>
      <c r="K11" s="330"/>
      <c r="L11" s="330"/>
      <c r="M11" s="44" t="s">
        <v>194</v>
      </c>
      <c r="N11" s="110">
        <v>0.1166</v>
      </c>
      <c r="O11" s="110">
        <f>'SISTEMA INTEGRADO DE GESTIÓN'!$O$11</f>
        <v>0</v>
      </c>
      <c r="P11" s="339"/>
      <c r="Q11" s="340"/>
      <c r="R11" s="341"/>
      <c r="S11" s="78">
        <v>0</v>
      </c>
      <c r="T11" s="78">
        <v>1</v>
      </c>
      <c r="U11" s="187" t="str">
        <f>'SISTEMA INTEGRADO DE GESTIÓN'!$U$11</f>
        <v>FAVORABLES</v>
      </c>
      <c r="V11" s="30"/>
      <c r="W11" s="22"/>
    </row>
    <row r="12" spans="2:23" ht="88.5" customHeight="1" thickBot="1" x14ac:dyDescent="0.3">
      <c r="B12" s="148">
        <v>3</v>
      </c>
      <c r="C12" s="329"/>
      <c r="D12" s="329"/>
      <c r="E12" s="329"/>
      <c r="F12" s="329"/>
      <c r="G12" s="329"/>
      <c r="H12" s="330"/>
      <c r="I12" s="330"/>
      <c r="J12" s="330"/>
      <c r="K12" s="330"/>
      <c r="L12" s="330"/>
      <c r="M12" s="44" t="s">
        <v>127</v>
      </c>
      <c r="N12" s="110">
        <v>0.1166</v>
      </c>
      <c r="O12" s="110">
        <f>'SISTEMA INTEGRADO DE GESTIÓN'!$O$12</f>
        <v>0.5</v>
      </c>
      <c r="P12" s="339"/>
      <c r="Q12" s="340"/>
      <c r="R12" s="341"/>
      <c r="S12" s="110">
        <v>0.5</v>
      </c>
      <c r="T12" s="78">
        <v>1</v>
      </c>
      <c r="U12" s="187" t="str">
        <f>'SISTEMA INTEGRADO DE GESTIÓN'!$U$12</f>
        <v>FAVORABLES</v>
      </c>
      <c r="V12" s="30"/>
      <c r="W12" s="22"/>
    </row>
    <row r="13" spans="2:23" ht="88.5" customHeight="1" thickBot="1" x14ac:dyDescent="0.3">
      <c r="B13" s="148">
        <v>4</v>
      </c>
      <c r="C13" s="329"/>
      <c r="D13" s="329"/>
      <c r="E13" s="329"/>
      <c r="F13" s="329"/>
      <c r="G13" s="329"/>
      <c r="H13" s="330"/>
      <c r="I13" s="330"/>
      <c r="J13" s="330"/>
      <c r="K13" s="330"/>
      <c r="L13" s="330"/>
      <c r="M13" s="44" t="s">
        <v>128</v>
      </c>
      <c r="N13" s="110">
        <v>0.1166</v>
      </c>
      <c r="O13" s="110">
        <f>'SISTEMA INTEGRADO DE GESTIÓN'!$O$13</f>
        <v>1</v>
      </c>
      <c r="P13" s="339"/>
      <c r="Q13" s="340"/>
      <c r="R13" s="341"/>
      <c r="S13" s="110">
        <v>1</v>
      </c>
      <c r="T13" s="78">
        <v>1</v>
      </c>
      <c r="U13" s="187" t="str">
        <f>'SISTEMA INTEGRADO DE GESTIÓN'!$U$13</f>
        <v>FAVORABLES</v>
      </c>
      <c r="V13" s="30"/>
      <c r="W13" s="22"/>
    </row>
    <row r="14" spans="2:23" ht="109.5" customHeight="1" thickBot="1" x14ac:dyDescent="0.3">
      <c r="B14" s="148">
        <v>5</v>
      </c>
      <c r="C14" s="329"/>
      <c r="D14" s="329"/>
      <c r="E14" s="329"/>
      <c r="F14" s="329"/>
      <c r="G14" s="329"/>
      <c r="H14" s="330"/>
      <c r="I14" s="330"/>
      <c r="J14" s="330"/>
      <c r="K14" s="330"/>
      <c r="L14" s="330"/>
      <c r="M14" s="44" t="s">
        <v>229</v>
      </c>
      <c r="N14" s="110">
        <v>0.1166</v>
      </c>
      <c r="O14" s="110">
        <f>'SISTEMA INTEGRADO DE GESTIÓN'!$O$14</f>
        <v>1</v>
      </c>
      <c r="P14" s="339"/>
      <c r="Q14" s="340"/>
      <c r="R14" s="341"/>
      <c r="S14" s="110">
        <v>1</v>
      </c>
      <c r="T14" s="78">
        <v>1</v>
      </c>
      <c r="U14" s="187" t="str">
        <f>'SISTEMA INTEGRADO DE GESTIÓN'!$U$14</f>
        <v>FAVORABLES</v>
      </c>
      <c r="V14" s="30"/>
      <c r="W14" s="22"/>
    </row>
    <row r="15" spans="2:23" ht="218.25" customHeight="1" thickBot="1" x14ac:dyDescent="0.3">
      <c r="B15" s="148">
        <v>6</v>
      </c>
      <c r="C15" s="329"/>
      <c r="D15" s="329"/>
      <c r="E15" s="329"/>
      <c r="F15" s="329"/>
      <c r="G15" s="329"/>
      <c r="H15" s="143" t="s">
        <v>108</v>
      </c>
      <c r="I15" s="143" t="s">
        <v>86</v>
      </c>
      <c r="J15" s="143" t="s">
        <v>3</v>
      </c>
      <c r="K15" s="143" t="s">
        <v>8</v>
      </c>
      <c r="L15" s="143" t="s">
        <v>9</v>
      </c>
      <c r="M15" s="143" t="s">
        <v>46</v>
      </c>
      <c r="N15" s="110">
        <v>0.3</v>
      </c>
      <c r="O15" s="110">
        <f>'SISTEMA INTEGRADO DE GESTIÓN'!$O$15</f>
        <v>0.75</v>
      </c>
      <c r="P15" s="342"/>
      <c r="Q15" s="343"/>
      <c r="R15" s="344"/>
      <c r="S15" s="78">
        <v>0.67</v>
      </c>
      <c r="T15" s="78">
        <v>1</v>
      </c>
      <c r="U15" s="187" t="str">
        <f>'SISTEMA INTEGRADO DE GESTIÓN'!$U$15</f>
        <v>FAVORABLES</v>
      </c>
      <c r="V15" s="30"/>
      <c r="W15" s="22"/>
    </row>
    <row r="16" spans="2:23" ht="218.25" customHeight="1" thickBot="1" x14ac:dyDescent="0.3">
      <c r="B16" s="148">
        <v>7</v>
      </c>
      <c r="C16" s="329" t="s">
        <v>83</v>
      </c>
      <c r="D16" s="329" t="s">
        <v>82</v>
      </c>
      <c r="E16" s="329"/>
      <c r="F16" s="329"/>
      <c r="G16" s="329"/>
      <c r="H16" s="143" t="s">
        <v>162</v>
      </c>
      <c r="I16" s="143" t="s">
        <v>87</v>
      </c>
      <c r="J16" s="144" t="s">
        <v>84</v>
      </c>
      <c r="K16" s="144" t="s">
        <v>26</v>
      </c>
      <c r="L16" s="144" t="s">
        <v>19</v>
      </c>
      <c r="M16" s="44" t="s">
        <v>227</v>
      </c>
      <c r="N16" s="110">
        <v>0.5</v>
      </c>
      <c r="O16" s="110">
        <f>'CONTROL DE CALIDAD'!$O$10</f>
        <v>1</v>
      </c>
      <c r="P16" s="110">
        <f>(N16*O16)+(N17*O17)</f>
        <v>1</v>
      </c>
      <c r="Q16" s="332">
        <f>(N16*O16)+(N17*O17)</f>
        <v>1</v>
      </c>
      <c r="R16" s="333"/>
      <c r="S16" s="78">
        <v>0</v>
      </c>
      <c r="T16" s="78" t="s">
        <v>216</v>
      </c>
      <c r="U16" s="187" t="str">
        <f>'CONTROL DE CALIDAD'!$U$10</f>
        <v>FAVORABLES</v>
      </c>
      <c r="V16" s="30"/>
      <c r="W16" s="22"/>
    </row>
    <row r="17" spans="2:23" ht="234" customHeight="1" thickBot="1" x14ac:dyDescent="0.4">
      <c r="B17" s="148">
        <v>8</v>
      </c>
      <c r="C17" s="329"/>
      <c r="D17" s="329"/>
      <c r="E17" s="329"/>
      <c r="F17" s="329"/>
      <c r="G17" s="329"/>
      <c r="H17" s="144" t="s">
        <v>85</v>
      </c>
      <c r="I17" s="143" t="s">
        <v>87</v>
      </c>
      <c r="J17" s="144" t="s">
        <v>84</v>
      </c>
      <c r="K17" s="144" t="s">
        <v>26</v>
      </c>
      <c r="L17" s="144" t="s">
        <v>19</v>
      </c>
      <c r="M17" s="144" t="s">
        <v>225</v>
      </c>
      <c r="N17" s="75">
        <v>0.5</v>
      </c>
      <c r="O17" s="110">
        <f>'CONTROL DE CALIDAD'!$O$11</f>
        <v>1</v>
      </c>
      <c r="P17" s="97"/>
      <c r="Q17" s="334"/>
      <c r="R17" s="335"/>
      <c r="S17" s="110" t="s">
        <v>254</v>
      </c>
      <c r="T17" s="110">
        <v>1</v>
      </c>
      <c r="U17" s="187" t="str">
        <f>'CONTROL DE CALIDAD'!$U$11</f>
        <v>FAVORABLES</v>
      </c>
      <c r="V17" s="46"/>
      <c r="W17" s="22"/>
    </row>
    <row r="18" spans="2:23" ht="234" customHeight="1" thickBot="1" x14ac:dyDescent="0.3">
      <c r="B18" s="148">
        <v>9</v>
      </c>
      <c r="C18" s="329" t="s">
        <v>28</v>
      </c>
      <c r="D18" s="329" t="s">
        <v>36</v>
      </c>
      <c r="E18" s="329"/>
      <c r="F18" s="329"/>
      <c r="G18" s="329"/>
      <c r="H18" s="143" t="s">
        <v>162</v>
      </c>
      <c r="I18" s="143" t="s">
        <v>88</v>
      </c>
      <c r="J18" s="144" t="s">
        <v>68</v>
      </c>
      <c r="K18" s="144" t="s">
        <v>26</v>
      </c>
      <c r="L18" s="144" t="s">
        <v>19</v>
      </c>
      <c r="M18" s="44" t="s">
        <v>227</v>
      </c>
      <c r="N18" s="75">
        <v>0.25</v>
      </c>
      <c r="O18" s="110">
        <f>'GESTIÓN COMERCIAL '!$O$10</f>
        <v>1</v>
      </c>
      <c r="P18" s="336">
        <f>(N18*O18)+(N19*O19)+(N20*O20)+(N21*O21)+(N22*O22)</f>
        <v>0.7823889022312922</v>
      </c>
      <c r="Q18" s="337"/>
      <c r="R18" s="338"/>
      <c r="S18" s="110">
        <v>0</v>
      </c>
      <c r="T18" s="78" t="s">
        <v>216</v>
      </c>
      <c r="U18" s="187" t="str">
        <f>'GESTIÓN COMERCIAL '!$U$10</f>
        <v>FAVORABLES</v>
      </c>
      <c r="V18" s="46"/>
      <c r="W18" s="22"/>
    </row>
    <row r="19" spans="2:23" ht="195.75" customHeight="1" thickBot="1" x14ac:dyDescent="0.3">
      <c r="B19" s="148">
        <v>10</v>
      </c>
      <c r="C19" s="329"/>
      <c r="D19" s="329"/>
      <c r="E19" s="329"/>
      <c r="F19" s="329"/>
      <c r="G19" s="329"/>
      <c r="H19" s="144" t="s">
        <v>237</v>
      </c>
      <c r="I19" s="143" t="s">
        <v>88</v>
      </c>
      <c r="J19" s="144" t="s">
        <v>68</v>
      </c>
      <c r="K19" s="144" t="s">
        <v>26</v>
      </c>
      <c r="L19" s="144" t="s">
        <v>19</v>
      </c>
      <c r="M19" s="151" t="s">
        <v>71</v>
      </c>
      <c r="N19" s="75">
        <v>0.45</v>
      </c>
      <c r="O19" s="110">
        <f>'GESTIÓN COMERCIAL '!$O$11</f>
        <v>0.62805067964160033</v>
      </c>
      <c r="P19" s="339"/>
      <c r="Q19" s="340"/>
      <c r="R19" s="341"/>
      <c r="S19" s="137">
        <f>SUM('[2]ANÁLISIS META ANUAL'!$E$4:$E$9)</f>
        <v>5016234</v>
      </c>
      <c r="T19" s="78">
        <v>1</v>
      </c>
      <c r="U19" s="187" t="str">
        <f>'GESTIÓN COMERCIAL '!$U$11</f>
        <v>FAVORABLES</v>
      </c>
      <c r="V19" s="47"/>
      <c r="W19" s="22"/>
    </row>
    <row r="20" spans="2:23" ht="216.75" customHeight="1" thickBot="1" x14ac:dyDescent="0.3">
      <c r="B20" s="148">
        <v>11</v>
      </c>
      <c r="C20" s="329"/>
      <c r="D20" s="329"/>
      <c r="E20" s="329"/>
      <c r="F20" s="329"/>
      <c r="G20" s="329"/>
      <c r="H20" s="144" t="s">
        <v>65</v>
      </c>
      <c r="I20" s="143" t="s">
        <v>88</v>
      </c>
      <c r="J20" s="144" t="s">
        <v>68</v>
      </c>
      <c r="K20" s="144" t="s">
        <v>26</v>
      </c>
      <c r="L20" s="144" t="s">
        <v>19</v>
      </c>
      <c r="M20" s="151" t="s">
        <v>193</v>
      </c>
      <c r="N20" s="75">
        <v>0.1</v>
      </c>
      <c r="O20" s="110">
        <f>'GESTIÓN COMERCIAL '!$O$12</f>
        <v>0.59766096392571988</v>
      </c>
      <c r="P20" s="339"/>
      <c r="Q20" s="340"/>
      <c r="R20" s="341"/>
      <c r="S20" s="119">
        <v>9023324</v>
      </c>
      <c r="T20" s="78">
        <v>1</v>
      </c>
      <c r="U20" s="187" t="str">
        <f>'GESTIÓN COMERCIAL '!$U$12</f>
        <v>FAVORABLES</v>
      </c>
      <c r="V20" s="47"/>
      <c r="W20" s="22"/>
    </row>
    <row r="21" spans="2:23" ht="215.25" customHeight="1" thickBot="1" x14ac:dyDescent="0.3">
      <c r="B21" s="148">
        <v>12</v>
      </c>
      <c r="C21" s="329"/>
      <c r="D21" s="329"/>
      <c r="E21" s="329"/>
      <c r="F21" s="329"/>
      <c r="G21" s="329"/>
      <c r="H21" s="144" t="s">
        <v>66</v>
      </c>
      <c r="I21" s="143" t="s">
        <v>88</v>
      </c>
      <c r="J21" s="144" t="s">
        <v>68</v>
      </c>
      <c r="K21" s="144" t="s">
        <v>26</v>
      </c>
      <c r="L21" s="144" t="s">
        <v>19</v>
      </c>
      <c r="M21" s="152" t="s">
        <v>186</v>
      </c>
      <c r="N21" s="75">
        <v>0.05</v>
      </c>
      <c r="O21" s="110">
        <f>'GESTIÓN COMERCIAL '!$O$13</f>
        <v>0.8</v>
      </c>
      <c r="P21" s="339"/>
      <c r="Q21" s="340"/>
      <c r="R21" s="341"/>
      <c r="S21" s="138">
        <v>2</v>
      </c>
      <c r="T21" s="78">
        <v>1</v>
      </c>
      <c r="U21" s="187" t="str">
        <f>'GESTIÓN COMERCIAL '!$U$13</f>
        <v>FAVORABLES</v>
      </c>
      <c r="V21" s="47"/>
      <c r="W21" s="22"/>
    </row>
    <row r="22" spans="2:23" ht="194.25" customHeight="1" thickBot="1" x14ac:dyDescent="0.3">
      <c r="B22" s="148">
        <v>13</v>
      </c>
      <c r="C22" s="329"/>
      <c r="D22" s="329"/>
      <c r="E22" s="329"/>
      <c r="F22" s="329"/>
      <c r="G22" s="329"/>
      <c r="H22" s="144" t="s">
        <v>67</v>
      </c>
      <c r="I22" s="143" t="s">
        <v>88</v>
      </c>
      <c r="J22" s="144" t="s">
        <v>70</v>
      </c>
      <c r="K22" s="144" t="s">
        <v>26</v>
      </c>
      <c r="L22" s="144" t="s">
        <v>19</v>
      </c>
      <c r="M22" s="151" t="s">
        <v>72</v>
      </c>
      <c r="N22" s="75">
        <v>0.15</v>
      </c>
      <c r="O22" s="110">
        <f>'GESTIÓN COMERCIAL '!$O$14</f>
        <v>1</v>
      </c>
      <c r="P22" s="342"/>
      <c r="Q22" s="343"/>
      <c r="R22" s="344"/>
      <c r="S22" s="138">
        <v>1</v>
      </c>
      <c r="T22" s="78">
        <v>1</v>
      </c>
      <c r="U22" s="187" t="str">
        <f>'GESTIÓN COMERCIAL '!$U$14</f>
        <v>FAVORABLES</v>
      </c>
      <c r="V22" s="47"/>
      <c r="W22" s="22"/>
    </row>
    <row r="23" spans="2:23" ht="322.5" customHeight="1" thickBot="1" x14ac:dyDescent="0.3">
      <c r="B23" s="148">
        <v>14</v>
      </c>
      <c r="C23" s="329" t="s">
        <v>28</v>
      </c>
      <c r="D23" s="329" t="s">
        <v>291</v>
      </c>
      <c r="E23" s="329"/>
      <c r="F23" s="329"/>
      <c r="G23" s="329"/>
      <c r="H23" s="143" t="s">
        <v>162</v>
      </c>
      <c r="I23" s="144" t="s">
        <v>257</v>
      </c>
      <c r="J23" s="144" t="s">
        <v>32</v>
      </c>
      <c r="K23" s="144" t="s">
        <v>26</v>
      </c>
      <c r="L23" s="144" t="s">
        <v>19</v>
      </c>
      <c r="M23" s="151" t="s">
        <v>227</v>
      </c>
      <c r="N23" s="75">
        <v>0.3</v>
      </c>
      <c r="O23" s="110">
        <f>'GESTIÓN FINANCIERA'!$O$10</f>
        <v>1</v>
      </c>
      <c r="P23" s="336">
        <f>(N23*O23)+(N24*O24)+(N25*O25)+(N26*O26)+(N27*O27)+(N28*O28)+(N29*O29)+(N30*O30)</f>
        <v>0.90753921976976737</v>
      </c>
      <c r="Q23" s="337"/>
      <c r="R23" s="338"/>
      <c r="S23" s="110">
        <v>0</v>
      </c>
      <c r="T23" s="78" t="s">
        <v>216</v>
      </c>
      <c r="U23" s="187" t="str">
        <f>'GESTIÓN FINANCIERA'!$U$10</f>
        <v>FAVORABLES</v>
      </c>
      <c r="V23" s="47"/>
      <c r="W23" s="22"/>
    </row>
    <row r="24" spans="2:23" ht="315.75" customHeight="1" thickBot="1" x14ac:dyDescent="0.3">
      <c r="B24" s="148">
        <v>15</v>
      </c>
      <c r="C24" s="329"/>
      <c r="D24" s="329"/>
      <c r="E24" s="329"/>
      <c r="F24" s="329"/>
      <c r="G24" s="329"/>
      <c r="H24" s="144" t="s">
        <v>109</v>
      </c>
      <c r="I24" s="144" t="s">
        <v>257</v>
      </c>
      <c r="J24" s="144" t="s">
        <v>56</v>
      </c>
      <c r="K24" s="144" t="s">
        <v>8</v>
      </c>
      <c r="L24" s="144" t="s">
        <v>19</v>
      </c>
      <c r="M24" s="144" t="s">
        <v>57</v>
      </c>
      <c r="N24" s="75">
        <v>0.1</v>
      </c>
      <c r="O24" s="110">
        <f>'GESTIÓN FINANCIERA'!$O$11</f>
        <v>0.78014178763106956</v>
      </c>
      <c r="P24" s="339"/>
      <c r="Q24" s="340"/>
      <c r="R24" s="341"/>
      <c r="S24" s="110">
        <v>0</v>
      </c>
      <c r="T24" s="78">
        <v>1</v>
      </c>
      <c r="U24" s="187" t="str">
        <f>'GESTIÓN FINANCIERA'!$U$11</f>
        <v>FAVORABLES</v>
      </c>
      <c r="V24" s="47"/>
      <c r="W24" s="22"/>
    </row>
    <row r="25" spans="2:23" ht="284.25" customHeight="1" thickBot="1" x14ac:dyDescent="0.3">
      <c r="B25" s="148">
        <v>16</v>
      </c>
      <c r="C25" s="329"/>
      <c r="D25" s="329"/>
      <c r="E25" s="329"/>
      <c r="F25" s="329"/>
      <c r="G25" s="329"/>
      <c r="H25" s="144" t="s">
        <v>110</v>
      </c>
      <c r="I25" s="144" t="s">
        <v>257</v>
      </c>
      <c r="J25" s="144" t="s">
        <v>3</v>
      </c>
      <c r="K25" s="144" t="s">
        <v>26</v>
      </c>
      <c r="L25" s="144" t="s">
        <v>19</v>
      </c>
      <c r="M25" s="144" t="s">
        <v>140</v>
      </c>
      <c r="N25" s="75">
        <v>0.1</v>
      </c>
      <c r="O25" s="110">
        <f>'GESTIÓN FINANCIERA'!$O$12</f>
        <v>4.0454093094846488E-2</v>
      </c>
      <c r="P25" s="339"/>
      <c r="Q25" s="340"/>
      <c r="R25" s="341"/>
      <c r="S25" s="110">
        <v>-0.32</v>
      </c>
      <c r="T25" s="110" t="s">
        <v>141</v>
      </c>
      <c r="U25" s="187" t="str">
        <f>'GESTIÓN FINANCIERA'!$U$12</f>
        <v>ACCIÓN CORRECTIVA</v>
      </c>
      <c r="V25" s="47"/>
      <c r="W25" s="22"/>
    </row>
    <row r="26" spans="2:23" ht="309" customHeight="1" thickBot="1" x14ac:dyDescent="0.3">
      <c r="B26" s="148">
        <v>17</v>
      </c>
      <c r="C26" s="329"/>
      <c r="D26" s="329"/>
      <c r="E26" s="329"/>
      <c r="F26" s="329"/>
      <c r="G26" s="329"/>
      <c r="H26" s="144" t="s">
        <v>111</v>
      </c>
      <c r="I26" s="144" t="s">
        <v>257</v>
      </c>
      <c r="J26" s="144" t="s">
        <v>32</v>
      </c>
      <c r="K26" s="144" t="s">
        <v>26</v>
      </c>
      <c r="L26" s="144" t="s">
        <v>19</v>
      </c>
      <c r="M26" s="144" t="s">
        <v>58</v>
      </c>
      <c r="N26" s="75">
        <v>0.1</v>
      </c>
      <c r="O26" s="110">
        <f>'GESTIÓN FINANCIERA'!$O$13</f>
        <v>4.6714629836384232</v>
      </c>
      <c r="P26" s="339"/>
      <c r="Q26" s="340"/>
      <c r="R26" s="341"/>
      <c r="S26" s="139">
        <v>8.59</v>
      </c>
      <c r="T26" s="140" t="s">
        <v>59</v>
      </c>
      <c r="U26" s="187" t="str">
        <f>'GESTIÓN FINANCIERA'!$U$13</f>
        <v>ACCIÓN CORRECTIVA</v>
      </c>
      <c r="V26" s="47"/>
      <c r="W26" s="22"/>
    </row>
    <row r="27" spans="2:23" ht="325.5" customHeight="1" thickBot="1" x14ac:dyDescent="0.3">
      <c r="B27" s="148">
        <v>18</v>
      </c>
      <c r="C27" s="329"/>
      <c r="D27" s="329"/>
      <c r="E27" s="329"/>
      <c r="F27" s="329"/>
      <c r="G27" s="329"/>
      <c r="H27" s="144" t="s">
        <v>112</v>
      </c>
      <c r="I27" s="144" t="s">
        <v>257</v>
      </c>
      <c r="J27" s="144" t="s">
        <v>107</v>
      </c>
      <c r="K27" s="144" t="s">
        <v>26</v>
      </c>
      <c r="L27" s="144" t="s">
        <v>19</v>
      </c>
      <c r="M27" s="149" t="s">
        <v>258</v>
      </c>
      <c r="N27" s="75">
        <v>0.1</v>
      </c>
      <c r="O27" s="110">
        <f>'GESTIÓN FINANCIERA'!$O$14</f>
        <v>0</v>
      </c>
      <c r="P27" s="339"/>
      <c r="Q27" s="340"/>
      <c r="R27" s="341"/>
      <c r="S27" s="110">
        <v>0.22</v>
      </c>
      <c r="T27" s="78" t="s">
        <v>150</v>
      </c>
      <c r="U27" s="187" t="str">
        <f>'GESTIÓN FINANCIERA'!$U$14</f>
        <v>ACCIÓN CORRECTIVA</v>
      </c>
      <c r="V27" s="47"/>
      <c r="W27" s="22"/>
    </row>
    <row r="28" spans="2:23" ht="294.75" customHeight="1" thickBot="1" x14ac:dyDescent="0.3">
      <c r="B28" s="148">
        <v>19</v>
      </c>
      <c r="C28" s="329"/>
      <c r="D28" s="329"/>
      <c r="E28" s="329"/>
      <c r="F28" s="329"/>
      <c r="G28" s="329"/>
      <c r="H28" s="144" t="s">
        <v>113</v>
      </c>
      <c r="I28" s="144" t="s">
        <v>257</v>
      </c>
      <c r="J28" s="144" t="s">
        <v>3</v>
      </c>
      <c r="K28" s="144" t="s">
        <v>26</v>
      </c>
      <c r="L28" s="144" t="s">
        <v>19</v>
      </c>
      <c r="M28" s="144" t="s">
        <v>60</v>
      </c>
      <c r="N28" s="75">
        <v>0.1</v>
      </c>
      <c r="O28" s="110">
        <f>'GESTIÓN FINANCIERA'!$O$15</f>
        <v>0</v>
      </c>
      <c r="P28" s="339"/>
      <c r="Q28" s="340"/>
      <c r="R28" s="341"/>
      <c r="S28" s="110">
        <v>0</v>
      </c>
      <c r="T28" s="78" t="s">
        <v>64</v>
      </c>
      <c r="U28" s="187" t="str">
        <f>'GESTIÓN FINANCIERA'!$U$15</f>
        <v>ACCIÓN CORRECTIVA</v>
      </c>
      <c r="V28" s="47"/>
      <c r="W28" s="22"/>
    </row>
    <row r="29" spans="2:23" ht="339.75" customHeight="1" thickBot="1" x14ac:dyDescent="0.3">
      <c r="B29" s="148">
        <v>20</v>
      </c>
      <c r="C29" s="329"/>
      <c r="D29" s="329"/>
      <c r="E29" s="329"/>
      <c r="F29" s="329"/>
      <c r="G29" s="329"/>
      <c r="H29" s="144" t="s">
        <v>114</v>
      </c>
      <c r="I29" s="144" t="s">
        <v>257</v>
      </c>
      <c r="J29" s="144" t="s">
        <v>32</v>
      </c>
      <c r="K29" s="144" t="s">
        <v>8</v>
      </c>
      <c r="L29" s="144" t="s">
        <v>19</v>
      </c>
      <c r="M29" s="144" t="s">
        <v>61</v>
      </c>
      <c r="N29" s="75">
        <v>0.1</v>
      </c>
      <c r="O29" s="110">
        <f>'GESTIÓN FINANCIERA'!$O$16</f>
        <v>0.58333333333333337</v>
      </c>
      <c r="P29" s="339"/>
      <c r="Q29" s="340"/>
      <c r="R29" s="341"/>
      <c r="S29" s="110">
        <v>0.95</v>
      </c>
      <c r="T29" s="78">
        <v>1</v>
      </c>
      <c r="U29" s="187" t="str">
        <f>'GESTIÓN FINANCIERA'!$U$16</f>
        <v>FAVORABLES</v>
      </c>
      <c r="V29" s="47"/>
      <c r="W29" s="22"/>
    </row>
    <row r="30" spans="2:23" ht="353.25" customHeight="1" thickBot="1" x14ac:dyDescent="0.3">
      <c r="B30" s="148">
        <v>21</v>
      </c>
      <c r="C30" s="329"/>
      <c r="D30" s="329"/>
      <c r="E30" s="329"/>
      <c r="F30" s="329"/>
      <c r="G30" s="329"/>
      <c r="H30" s="144" t="s">
        <v>115</v>
      </c>
      <c r="I30" s="144" t="s">
        <v>257</v>
      </c>
      <c r="J30" s="144" t="s">
        <v>62</v>
      </c>
      <c r="K30" s="144" t="s">
        <v>26</v>
      </c>
      <c r="L30" s="144" t="s">
        <v>19</v>
      </c>
      <c r="M30" s="144" t="s">
        <v>63</v>
      </c>
      <c r="N30" s="75">
        <v>0.1</v>
      </c>
      <c r="O30" s="110">
        <f>'GESTIÓN FINANCIERA'!$O$17</f>
        <v>0</v>
      </c>
      <c r="P30" s="342"/>
      <c r="Q30" s="343"/>
      <c r="R30" s="344"/>
      <c r="S30" s="110">
        <v>1</v>
      </c>
      <c r="T30" s="78" t="s">
        <v>64</v>
      </c>
      <c r="U30" s="187" t="str">
        <f>'GESTIÓN FINANCIERA'!$U$17</f>
        <v>ACCIÓN CORRECTIVA</v>
      </c>
      <c r="V30" s="47"/>
      <c r="W30" s="22"/>
    </row>
    <row r="31" spans="2:23" ht="304.5" customHeight="1" thickBot="1" x14ac:dyDescent="0.3">
      <c r="B31" s="111">
        <v>22</v>
      </c>
      <c r="C31" s="329" t="s">
        <v>29</v>
      </c>
      <c r="D31" s="329" t="s">
        <v>137</v>
      </c>
      <c r="E31" s="329"/>
      <c r="F31" s="329"/>
      <c r="G31" s="329"/>
      <c r="H31" s="330" t="s">
        <v>162</v>
      </c>
      <c r="I31" s="330" t="s">
        <v>89</v>
      </c>
      <c r="J31" s="329" t="s">
        <v>163</v>
      </c>
      <c r="K31" s="329" t="s">
        <v>26</v>
      </c>
      <c r="L31" s="329" t="s">
        <v>19</v>
      </c>
      <c r="M31" s="69" t="s">
        <v>287</v>
      </c>
      <c r="N31" s="370">
        <v>0.1</v>
      </c>
      <c r="O31" s="110">
        <f>'TALENTO HUMANO'!$O$10</f>
        <v>0</v>
      </c>
      <c r="P31" s="336">
        <f>(N31*O31)+(N31*O32)+(N31*O33)+(N31*O34)+(N31*O35)+(N31*O36)+(N31*O37)+(N31*O38)+(N39*O39)+(N40*O40)+(N41*O41)+(N42*O42)+(N43*O43)+(N44*O44)+(N45*O45)+(N46*O46)+(N47*O47)+(N48*O48)+(N49*O49)+(N50*O50)+(N51*O51)+(N52*O52)+(N53*O53)+(N54*O54)+(N55*O55)+(N56*O56)+(N57*O57)+(N58*O58)+(N59*O59)+(N60*O60)+(N61*O61)+(N62*O62)+(N63*O63)+(N64*O64)+(N65*O65)+(N66*O66)</f>
        <v>1.160105263157895</v>
      </c>
      <c r="Q31" s="337"/>
      <c r="R31" s="338"/>
      <c r="S31" s="141">
        <v>0</v>
      </c>
      <c r="T31" s="110" t="s">
        <v>216</v>
      </c>
      <c r="U31" s="187" t="str">
        <f>'TALENTO HUMANO'!$U$10</f>
        <v>ACCIÓN CORRECTIVA</v>
      </c>
      <c r="V31" s="47"/>
      <c r="W31" s="22"/>
    </row>
    <row r="32" spans="2:23" ht="207.75" customHeight="1" thickBot="1" x14ac:dyDescent="0.3">
      <c r="B32" s="111">
        <v>23</v>
      </c>
      <c r="C32" s="329"/>
      <c r="D32" s="329"/>
      <c r="E32" s="329"/>
      <c r="F32" s="329"/>
      <c r="G32" s="329"/>
      <c r="H32" s="330"/>
      <c r="I32" s="330"/>
      <c r="J32" s="329"/>
      <c r="K32" s="329"/>
      <c r="L32" s="329"/>
      <c r="M32" s="69" t="s">
        <v>217</v>
      </c>
      <c r="N32" s="370"/>
      <c r="O32" s="110">
        <f>'TALENTO HUMANO'!$O$11</f>
        <v>1</v>
      </c>
      <c r="P32" s="339"/>
      <c r="Q32" s="340"/>
      <c r="R32" s="341"/>
      <c r="S32" s="141">
        <v>0</v>
      </c>
      <c r="T32" s="110" t="s">
        <v>216</v>
      </c>
      <c r="U32" s="187" t="str">
        <f>'TALENTO HUMANO'!$U$11</f>
        <v>FAVORABLES</v>
      </c>
      <c r="V32" s="47"/>
      <c r="W32" s="22"/>
    </row>
    <row r="33" spans="2:23" ht="284.25" customHeight="1" thickBot="1" x14ac:dyDescent="0.3">
      <c r="B33" s="111">
        <v>24</v>
      </c>
      <c r="C33" s="329"/>
      <c r="D33" s="329"/>
      <c r="E33" s="329"/>
      <c r="F33" s="329"/>
      <c r="G33" s="329"/>
      <c r="H33" s="330"/>
      <c r="I33" s="330"/>
      <c r="J33" s="329"/>
      <c r="K33" s="329"/>
      <c r="L33" s="329"/>
      <c r="M33" s="69" t="s">
        <v>288</v>
      </c>
      <c r="N33" s="370"/>
      <c r="O33" s="110">
        <f>'TALENTO HUMANO'!$O$12</f>
        <v>2.1800000000000002</v>
      </c>
      <c r="P33" s="339"/>
      <c r="Q33" s="340"/>
      <c r="R33" s="341"/>
      <c r="S33" s="141">
        <v>0</v>
      </c>
      <c r="T33" s="110" t="s">
        <v>216</v>
      </c>
      <c r="U33" s="187" t="str">
        <f>'TALENTO HUMANO'!$U$12</f>
        <v>FAVORABLES</v>
      </c>
      <c r="V33" s="47"/>
      <c r="W33" s="22"/>
    </row>
    <row r="34" spans="2:23" ht="207.75" customHeight="1" thickBot="1" x14ac:dyDescent="0.3">
      <c r="B34" s="111">
        <v>25</v>
      </c>
      <c r="C34" s="329"/>
      <c r="D34" s="329"/>
      <c r="E34" s="329"/>
      <c r="F34" s="329"/>
      <c r="G34" s="329"/>
      <c r="H34" s="330"/>
      <c r="I34" s="330"/>
      <c r="J34" s="329"/>
      <c r="K34" s="329"/>
      <c r="L34" s="329"/>
      <c r="M34" s="70" t="s">
        <v>242</v>
      </c>
      <c r="N34" s="370"/>
      <c r="O34" s="110">
        <f>'TALENTO HUMANO'!$O$13</f>
        <v>1.25</v>
      </c>
      <c r="P34" s="339"/>
      <c r="Q34" s="340"/>
      <c r="R34" s="341"/>
      <c r="S34" s="141">
        <v>0</v>
      </c>
      <c r="T34" s="110" t="s">
        <v>216</v>
      </c>
      <c r="U34" s="187" t="str">
        <f>'TALENTO HUMANO'!$U$13</f>
        <v>FAVORABLES</v>
      </c>
      <c r="V34" s="47"/>
      <c r="W34" s="22"/>
    </row>
    <row r="35" spans="2:23" ht="207.75" customHeight="1" thickBot="1" x14ac:dyDescent="0.3">
      <c r="B35" s="111">
        <v>26</v>
      </c>
      <c r="C35" s="329"/>
      <c r="D35" s="329"/>
      <c r="E35" s="329"/>
      <c r="F35" s="329"/>
      <c r="G35" s="329"/>
      <c r="H35" s="330"/>
      <c r="I35" s="330"/>
      <c r="J35" s="329"/>
      <c r="K35" s="329"/>
      <c r="L35" s="329"/>
      <c r="M35" s="69" t="s">
        <v>243</v>
      </c>
      <c r="N35" s="370"/>
      <c r="O35" s="110">
        <f>'TALENTO HUMANO'!$O$14</f>
        <v>1</v>
      </c>
      <c r="P35" s="339"/>
      <c r="Q35" s="340"/>
      <c r="R35" s="341"/>
      <c r="S35" s="141">
        <v>0</v>
      </c>
      <c r="T35" s="110" t="s">
        <v>216</v>
      </c>
      <c r="U35" s="187" t="str">
        <f>'TALENTO HUMANO'!$U$14</f>
        <v>FAVORABLES</v>
      </c>
      <c r="V35" s="47"/>
      <c r="W35" s="22"/>
    </row>
    <row r="36" spans="2:23" ht="207.75" customHeight="1" thickBot="1" x14ac:dyDescent="0.3">
      <c r="B36" s="111">
        <v>27</v>
      </c>
      <c r="C36" s="329"/>
      <c r="D36" s="329"/>
      <c r="E36" s="329"/>
      <c r="F36" s="329"/>
      <c r="G36" s="329"/>
      <c r="H36" s="330"/>
      <c r="I36" s="330"/>
      <c r="J36" s="329"/>
      <c r="K36" s="329"/>
      <c r="L36" s="329"/>
      <c r="M36" s="69" t="s">
        <v>244</v>
      </c>
      <c r="N36" s="370"/>
      <c r="O36" s="110">
        <f>'TALENTO HUMANO'!$O$15</f>
        <v>1</v>
      </c>
      <c r="P36" s="339"/>
      <c r="Q36" s="340"/>
      <c r="R36" s="341"/>
      <c r="S36" s="141">
        <v>0</v>
      </c>
      <c r="T36" s="110" t="s">
        <v>216</v>
      </c>
      <c r="U36" s="187" t="str">
        <f>'TALENTO HUMANO'!$U$15</f>
        <v>FAVORABLES</v>
      </c>
      <c r="V36" s="47"/>
      <c r="W36" s="22"/>
    </row>
    <row r="37" spans="2:23" ht="207.75" customHeight="1" thickBot="1" x14ac:dyDescent="0.3">
      <c r="B37" s="111">
        <v>28</v>
      </c>
      <c r="C37" s="329"/>
      <c r="D37" s="329"/>
      <c r="E37" s="329"/>
      <c r="F37" s="329"/>
      <c r="G37" s="329"/>
      <c r="H37" s="330"/>
      <c r="I37" s="330"/>
      <c r="J37" s="329"/>
      <c r="K37" s="329"/>
      <c r="L37" s="329"/>
      <c r="M37" s="69" t="s">
        <v>218</v>
      </c>
      <c r="N37" s="370"/>
      <c r="O37" s="110">
        <f>'TALENTO HUMANO'!$O$16</f>
        <v>1</v>
      </c>
      <c r="P37" s="339"/>
      <c r="Q37" s="340"/>
      <c r="R37" s="341"/>
      <c r="S37" s="141">
        <v>0</v>
      </c>
      <c r="T37" s="110" t="s">
        <v>216</v>
      </c>
      <c r="U37" s="187" t="str">
        <f>'TALENTO HUMANO'!$U$16</f>
        <v>FAVORABLES</v>
      </c>
      <c r="V37" s="47"/>
      <c r="W37" s="22"/>
    </row>
    <row r="38" spans="2:23" ht="207.75" customHeight="1" thickBot="1" x14ac:dyDescent="0.3">
      <c r="B38" s="111">
        <v>29</v>
      </c>
      <c r="C38" s="329"/>
      <c r="D38" s="329"/>
      <c r="E38" s="329"/>
      <c r="F38" s="329"/>
      <c r="G38" s="329"/>
      <c r="H38" s="330"/>
      <c r="I38" s="330"/>
      <c r="J38" s="329"/>
      <c r="K38" s="329"/>
      <c r="L38" s="329"/>
      <c r="M38" s="69" t="s">
        <v>245</v>
      </c>
      <c r="N38" s="370"/>
      <c r="O38" s="110">
        <f>'TALENTO HUMANO'!$O$17</f>
        <v>1</v>
      </c>
      <c r="P38" s="339"/>
      <c r="Q38" s="340"/>
      <c r="R38" s="341"/>
      <c r="S38" s="141">
        <v>0</v>
      </c>
      <c r="T38" s="110" t="s">
        <v>216</v>
      </c>
      <c r="U38" s="187" t="str">
        <f>'TALENTO HUMANO'!$U$17</f>
        <v>FAVORABLES</v>
      </c>
      <c r="V38" s="47"/>
      <c r="W38" s="22"/>
    </row>
    <row r="39" spans="2:23" ht="213" customHeight="1" thickBot="1" x14ac:dyDescent="0.3">
      <c r="B39" s="111">
        <v>30</v>
      </c>
      <c r="C39" s="329"/>
      <c r="D39" s="329"/>
      <c r="E39" s="329"/>
      <c r="F39" s="329"/>
      <c r="G39" s="329"/>
      <c r="H39" s="144" t="s">
        <v>116</v>
      </c>
      <c r="I39" s="143" t="s">
        <v>89</v>
      </c>
      <c r="J39" s="144" t="s">
        <v>33</v>
      </c>
      <c r="K39" s="144" t="s">
        <v>26</v>
      </c>
      <c r="L39" s="144" t="s">
        <v>19</v>
      </c>
      <c r="M39" s="144" t="s">
        <v>151</v>
      </c>
      <c r="N39" s="110">
        <v>0.05</v>
      </c>
      <c r="O39" s="110">
        <f>'TALENTO HUMANO'!$O$18</f>
        <v>0.84210526315789469</v>
      </c>
      <c r="P39" s="339"/>
      <c r="Q39" s="340"/>
      <c r="R39" s="341"/>
      <c r="S39" s="78">
        <v>0</v>
      </c>
      <c r="T39" s="140" t="s">
        <v>10</v>
      </c>
      <c r="U39" s="187" t="str">
        <f>'TALENTO HUMANO'!$U$18</f>
        <v>FAVORABLES</v>
      </c>
      <c r="V39" s="47"/>
      <c r="W39" s="22"/>
    </row>
    <row r="40" spans="2:23" ht="144.75" customHeight="1" thickBot="1" x14ac:dyDescent="0.3">
      <c r="B40" s="111">
        <v>31</v>
      </c>
      <c r="C40" s="329"/>
      <c r="D40" s="329"/>
      <c r="E40" s="329"/>
      <c r="F40" s="329"/>
      <c r="G40" s="329"/>
      <c r="H40" s="329" t="s">
        <v>188</v>
      </c>
      <c r="I40" s="330" t="s">
        <v>89</v>
      </c>
      <c r="J40" s="329" t="s">
        <v>33</v>
      </c>
      <c r="K40" s="329" t="s">
        <v>54</v>
      </c>
      <c r="L40" s="329" t="s">
        <v>19</v>
      </c>
      <c r="M40" s="69" t="s">
        <v>197</v>
      </c>
      <c r="N40" s="110">
        <v>2.5000000000000001E-2</v>
      </c>
      <c r="O40" s="110">
        <f>'TALENTO HUMANO'!$O$19</f>
        <v>0</v>
      </c>
      <c r="P40" s="339"/>
      <c r="Q40" s="340"/>
      <c r="R40" s="341"/>
      <c r="S40" s="78">
        <v>0</v>
      </c>
      <c r="T40" s="140" t="s">
        <v>10</v>
      </c>
      <c r="U40" s="187" t="str">
        <f>'TALENTO HUMANO'!$U$19</f>
        <v>ACCIÓN CORRECTIVA</v>
      </c>
      <c r="V40" s="47"/>
      <c r="W40" s="22"/>
    </row>
    <row r="41" spans="2:23" ht="144.75" customHeight="1" thickBot="1" x14ac:dyDescent="0.3">
      <c r="B41" s="111">
        <v>32</v>
      </c>
      <c r="C41" s="329"/>
      <c r="D41" s="329"/>
      <c r="E41" s="329"/>
      <c r="F41" s="329"/>
      <c r="G41" s="329"/>
      <c r="H41" s="329"/>
      <c r="I41" s="330"/>
      <c r="J41" s="329"/>
      <c r="K41" s="329"/>
      <c r="L41" s="329"/>
      <c r="M41" s="69" t="s">
        <v>198</v>
      </c>
      <c r="N41" s="110">
        <v>2.5000000000000001E-2</v>
      </c>
      <c r="O41" s="110">
        <f>'TALENTO HUMANO'!$O$20</f>
        <v>0</v>
      </c>
      <c r="P41" s="339"/>
      <c r="Q41" s="340"/>
      <c r="R41" s="341"/>
      <c r="S41" s="78">
        <v>0</v>
      </c>
      <c r="T41" s="140" t="s">
        <v>10</v>
      </c>
      <c r="U41" s="187" t="str">
        <f>'TALENTO HUMANO'!$U$20</f>
        <v>ACCIÓN CORRECTIVA</v>
      </c>
      <c r="V41" s="47"/>
      <c r="W41" s="22"/>
    </row>
    <row r="42" spans="2:23" ht="144.75" customHeight="1" thickBot="1" x14ac:dyDescent="0.3">
      <c r="B42" s="111">
        <v>33</v>
      </c>
      <c r="C42" s="329"/>
      <c r="D42" s="329"/>
      <c r="E42" s="329"/>
      <c r="F42" s="329"/>
      <c r="G42" s="329"/>
      <c r="H42" s="329"/>
      <c r="I42" s="330"/>
      <c r="J42" s="329"/>
      <c r="K42" s="329"/>
      <c r="L42" s="329"/>
      <c r="M42" s="69" t="s">
        <v>199</v>
      </c>
      <c r="N42" s="110">
        <v>2.5000000000000001E-2</v>
      </c>
      <c r="O42" s="110">
        <f>'TALENTO HUMANO'!$O$21</f>
        <v>0</v>
      </c>
      <c r="P42" s="339"/>
      <c r="Q42" s="340"/>
      <c r="R42" s="341"/>
      <c r="S42" s="78">
        <v>0</v>
      </c>
      <c r="T42" s="140" t="s">
        <v>10</v>
      </c>
      <c r="U42" s="187" t="str">
        <f>'TALENTO HUMANO'!$U$21</f>
        <v>ACCIÓN CORRECTIVA</v>
      </c>
      <c r="V42" s="47"/>
      <c r="W42" s="22"/>
    </row>
    <row r="43" spans="2:23" ht="144.75" customHeight="1" thickBot="1" x14ac:dyDescent="0.3">
      <c r="B43" s="111">
        <v>34</v>
      </c>
      <c r="C43" s="329"/>
      <c r="D43" s="329"/>
      <c r="E43" s="329"/>
      <c r="F43" s="329"/>
      <c r="G43" s="329"/>
      <c r="H43" s="329"/>
      <c r="I43" s="330"/>
      <c r="J43" s="329"/>
      <c r="K43" s="329"/>
      <c r="L43" s="329"/>
      <c r="M43" s="69" t="s">
        <v>200</v>
      </c>
      <c r="N43" s="110">
        <v>2.5000000000000001E-2</v>
      </c>
      <c r="O43" s="110">
        <f>'TALENTO HUMANO'!$O$22</f>
        <v>0</v>
      </c>
      <c r="P43" s="339"/>
      <c r="Q43" s="340"/>
      <c r="R43" s="341"/>
      <c r="S43" s="78">
        <v>0</v>
      </c>
      <c r="T43" s="140" t="s">
        <v>10</v>
      </c>
      <c r="U43" s="187" t="str">
        <f>'TALENTO HUMANO'!$U$22</f>
        <v>ACCIÓN CORRECTIVA</v>
      </c>
      <c r="V43" s="47"/>
      <c r="W43" s="22"/>
    </row>
    <row r="44" spans="2:23" ht="144.75" customHeight="1" thickBot="1" x14ac:dyDescent="0.3">
      <c r="B44" s="111">
        <v>35</v>
      </c>
      <c r="C44" s="329"/>
      <c r="D44" s="329"/>
      <c r="E44" s="329"/>
      <c r="F44" s="329"/>
      <c r="G44" s="329"/>
      <c r="H44" s="329"/>
      <c r="I44" s="330"/>
      <c r="J44" s="329"/>
      <c r="K44" s="329"/>
      <c r="L44" s="329"/>
      <c r="M44" s="69" t="s">
        <v>201</v>
      </c>
      <c r="N44" s="110">
        <v>2.5000000000000001E-2</v>
      </c>
      <c r="O44" s="110">
        <f>'TALENTO HUMANO'!$O$23</f>
        <v>0</v>
      </c>
      <c r="P44" s="339"/>
      <c r="Q44" s="340"/>
      <c r="R44" s="341"/>
      <c r="S44" s="78">
        <v>0</v>
      </c>
      <c r="T44" s="140" t="s">
        <v>10</v>
      </c>
      <c r="U44" s="187" t="str">
        <f>'TALENTO HUMANO'!$U$23</f>
        <v>ACCIÓN CORRECTIVA</v>
      </c>
      <c r="V44" s="47"/>
      <c r="W44" s="22"/>
    </row>
    <row r="45" spans="2:23" ht="144.75" customHeight="1" thickBot="1" x14ac:dyDescent="0.3">
      <c r="B45" s="111">
        <v>36</v>
      </c>
      <c r="C45" s="329"/>
      <c r="D45" s="329"/>
      <c r="E45" s="329"/>
      <c r="F45" s="329"/>
      <c r="G45" s="329"/>
      <c r="H45" s="329"/>
      <c r="I45" s="330"/>
      <c r="J45" s="329"/>
      <c r="K45" s="329"/>
      <c r="L45" s="329"/>
      <c r="M45" s="69" t="s">
        <v>261</v>
      </c>
      <c r="N45" s="110">
        <v>2.5000000000000001E-2</v>
      </c>
      <c r="O45" s="110">
        <f>'TALENTO HUMANO'!$O$24</f>
        <v>0</v>
      </c>
      <c r="P45" s="339"/>
      <c r="Q45" s="340"/>
      <c r="R45" s="341"/>
      <c r="S45" s="78">
        <v>0</v>
      </c>
      <c r="T45" s="140" t="s">
        <v>10</v>
      </c>
      <c r="U45" s="187" t="str">
        <f>'TALENTO HUMANO'!$U$24</f>
        <v>ACCIÓN CORRECTIVA</v>
      </c>
      <c r="V45" s="47"/>
      <c r="W45" s="22"/>
    </row>
    <row r="46" spans="2:23" ht="144.75" customHeight="1" thickBot="1" x14ac:dyDescent="0.3">
      <c r="B46" s="111">
        <v>37</v>
      </c>
      <c r="C46" s="329"/>
      <c r="D46" s="329"/>
      <c r="E46" s="329"/>
      <c r="F46" s="329"/>
      <c r="G46" s="329"/>
      <c r="H46" s="329"/>
      <c r="I46" s="330"/>
      <c r="J46" s="329"/>
      <c r="K46" s="329"/>
      <c r="L46" s="329"/>
      <c r="M46" s="69" t="s">
        <v>202</v>
      </c>
      <c r="N46" s="110">
        <v>2.5000000000000001E-2</v>
      </c>
      <c r="O46" s="110">
        <f>'TALENTO HUMANO'!$O$25</f>
        <v>0</v>
      </c>
      <c r="P46" s="339"/>
      <c r="Q46" s="340"/>
      <c r="R46" s="341"/>
      <c r="S46" s="78">
        <v>0</v>
      </c>
      <c r="T46" s="140" t="s">
        <v>10</v>
      </c>
      <c r="U46" s="187" t="str">
        <f>'TALENTO HUMANO'!$U$25</f>
        <v>ACCIÓN CORRECTIVA</v>
      </c>
      <c r="V46" s="47"/>
      <c r="W46" s="22"/>
    </row>
    <row r="47" spans="2:23" ht="144.75" customHeight="1" thickBot="1" x14ac:dyDescent="0.3">
      <c r="B47" s="111">
        <v>38</v>
      </c>
      <c r="C47" s="329"/>
      <c r="D47" s="329"/>
      <c r="E47" s="329"/>
      <c r="F47" s="329"/>
      <c r="G47" s="329"/>
      <c r="H47" s="329"/>
      <c r="I47" s="330"/>
      <c r="J47" s="329"/>
      <c r="K47" s="329"/>
      <c r="L47" s="329"/>
      <c r="M47" s="69" t="s">
        <v>203</v>
      </c>
      <c r="N47" s="110">
        <v>2.5000000000000001E-2</v>
      </c>
      <c r="O47" s="110">
        <f>'TALENTO HUMANO'!$O$26</f>
        <v>0</v>
      </c>
      <c r="P47" s="339"/>
      <c r="Q47" s="340"/>
      <c r="R47" s="341"/>
      <c r="S47" s="78">
        <v>0</v>
      </c>
      <c r="T47" s="140" t="s">
        <v>10</v>
      </c>
      <c r="U47" s="187" t="str">
        <f>'TALENTO HUMANO'!$U$26</f>
        <v>ACCIÓN CORRECTIVA</v>
      </c>
      <c r="V47" s="47"/>
      <c r="W47" s="22"/>
    </row>
    <row r="48" spans="2:23" ht="144.75" customHeight="1" thickBot="1" x14ac:dyDescent="0.3">
      <c r="B48" s="111">
        <v>39</v>
      </c>
      <c r="C48" s="329"/>
      <c r="D48" s="329"/>
      <c r="E48" s="329"/>
      <c r="F48" s="329"/>
      <c r="G48" s="329"/>
      <c r="H48" s="329"/>
      <c r="I48" s="330"/>
      <c r="J48" s="329"/>
      <c r="K48" s="329"/>
      <c r="L48" s="329"/>
      <c r="M48" s="69" t="s">
        <v>204</v>
      </c>
      <c r="N48" s="110">
        <v>2.5000000000000001E-2</v>
      </c>
      <c r="O48" s="110">
        <f>'TALENTO HUMANO'!$O$27</f>
        <v>0</v>
      </c>
      <c r="P48" s="339"/>
      <c r="Q48" s="340"/>
      <c r="R48" s="341"/>
      <c r="S48" s="78">
        <v>0</v>
      </c>
      <c r="T48" s="140" t="s">
        <v>10</v>
      </c>
      <c r="U48" s="187" t="str">
        <f>'TALENTO HUMANO'!$U$27</f>
        <v>ACCIÓN CORRECTIVA</v>
      </c>
      <c r="V48" s="47"/>
      <c r="W48" s="22"/>
    </row>
    <row r="49" spans="2:23" ht="144.75" customHeight="1" thickBot="1" x14ac:dyDescent="0.3">
      <c r="B49" s="111">
        <v>40</v>
      </c>
      <c r="C49" s="329"/>
      <c r="D49" s="329"/>
      <c r="E49" s="329"/>
      <c r="F49" s="329"/>
      <c r="G49" s="329"/>
      <c r="H49" s="329"/>
      <c r="I49" s="330"/>
      <c r="J49" s="329"/>
      <c r="K49" s="329"/>
      <c r="L49" s="329"/>
      <c r="M49" s="69" t="s">
        <v>205</v>
      </c>
      <c r="N49" s="110">
        <v>2.5000000000000001E-2</v>
      </c>
      <c r="O49" s="110">
        <f>'TALENTO HUMANO'!$O$28</f>
        <v>0</v>
      </c>
      <c r="P49" s="339"/>
      <c r="Q49" s="340"/>
      <c r="R49" s="341"/>
      <c r="S49" s="78">
        <v>0</v>
      </c>
      <c r="T49" s="140" t="s">
        <v>10</v>
      </c>
      <c r="U49" s="187" t="str">
        <f>'TALENTO HUMANO'!$U$28</f>
        <v>ACCIÓN CORRECTIVA</v>
      </c>
      <c r="V49" s="47"/>
      <c r="W49" s="22"/>
    </row>
    <row r="50" spans="2:23" ht="144.75" customHeight="1" thickBot="1" x14ac:dyDescent="0.3">
      <c r="B50" s="111">
        <v>41</v>
      </c>
      <c r="C50" s="329"/>
      <c r="D50" s="329"/>
      <c r="E50" s="329"/>
      <c r="F50" s="329"/>
      <c r="G50" s="329"/>
      <c r="H50" s="329"/>
      <c r="I50" s="330"/>
      <c r="J50" s="329"/>
      <c r="K50" s="329"/>
      <c r="L50" s="329"/>
      <c r="M50" s="69" t="s">
        <v>206</v>
      </c>
      <c r="N50" s="110">
        <v>2.5000000000000001E-2</v>
      </c>
      <c r="O50" s="110">
        <f>'TALENTO HUMANO'!$O$29</f>
        <v>0</v>
      </c>
      <c r="P50" s="339"/>
      <c r="Q50" s="340"/>
      <c r="R50" s="341"/>
      <c r="S50" s="78">
        <v>0</v>
      </c>
      <c r="T50" s="140" t="s">
        <v>10</v>
      </c>
      <c r="U50" s="187" t="str">
        <f>'TALENTO HUMANO'!$U$29</f>
        <v>ACCIÓN CORRECTIVA</v>
      </c>
      <c r="V50" s="47"/>
      <c r="W50" s="22"/>
    </row>
    <row r="51" spans="2:23" ht="144.75" customHeight="1" thickBot="1" x14ac:dyDescent="0.3">
      <c r="B51" s="111">
        <v>42</v>
      </c>
      <c r="C51" s="329"/>
      <c r="D51" s="329"/>
      <c r="E51" s="329"/>
      <c r="F51" s="329"/>
      <c r="G51" s="329"/>
      <c r="H51" s="329"/>
      <c r="I51" s="330"/>
      <c r="J51" s="329"/>
      <c r="K51" s="329"/>
      <c r="L51" s="329"/>
      <c r="M51" s="69" t="s">
        <v>207</v>
      </c>
      <c r="N51" s="110">
        <v>2.5000000000000001E-2</v>
      </c>
      <c r="O51" s="110">
        <f>'TALENTO HUMANO'!$O$30</f>
        <v>0</v>
      </c>
      <c r="P51" s="339"/>
      <c r="Q51" s="340"/>
      <c r="R51" s="341"/>
      <c r="S51" s="78">
        <v>0</v>
      </c>
      <c r="T51" s="140" t="s">
        <v>10</v>
      </c>
      <c r="U51" s="187" t="str">
        <f>'TALENTO HUMANO'!$U$30</f>
        <v>ACCIÓN CORRECTIVA</v>
      </c>
      <c r="V51" s="47"/>
      <c r="W51" s="22"/>
    </row>
    <row r="52" spans="2:23" ht="144.75" customHeight="1" thickBot="1" x14ac:dyDescent="0.3">
      <c r="B52" s="111">
        <v>43</v>
      </c>
      <c r="C52" s="329"/>
      <c r="D52" s="329"/>
      <c r="E52" s="329"/>
      <c r="F52" s="329"/>
      <c r="G52" s="329"/>
      <c r="H52" s="329"/>
      <c r="I52" s="330"/>
      <c r="J52" s="329"/>
      <c r="K52" s="329"/>
      <c r="L52" s="329"/>
      <c r="M52" s="69" t="s">
        <v>208</v>
      </c>
      <c r="N52" s="110">
        <v>2.5000000000000001E-2</v>
      </c>
      <c r="O52" s="110">
        <f>'TALENTO HUMANO'!$O$31</f>
        <v>0</v>
      </c>
      <c r="P52" s="339"/>
      <c r="Q52" s="340"/>
      <c r="R52" s="341"/>
      <c r="S52" s="78">
        <v>0</v>
      </c>
      <c r="T52" s="140" t="s">
        <v>10</v>
      </c>
      <c r="U52" s="187" t="str">
        <f>'TALENTO HUMANO'!$U$31</f>
        <v>ACCIÓN CORRECTIVA</v>
      </c>
      <c r="V52" s="47"/>
      <c r="W52" s="22"/>
    </row>
    <row r="53" spans="2:23" ht="144.75" customHeight="1" thickBot="1" x14ac:dyDescent="0.3">
      <c r="B53" s="111">
        <v>44</v>
      </c>
      <c r="C53" s="329"/>
      <c r="D53" s="329"/>
      <c r="E53" s="329"/>
      <c r="F53" s="329"/>
      <c r="G53" s="329"/>
      <c r="H53" s="329"/>
      <c r="I53" s="330"/>
      <c r="J53" s="329"/>
      <c r="K53" s="329"/>
      <c r="L53" s="329"/>
      <c r="M53" s="69" t="s">
        <v>209</v>
      </c>
      <c r="N53" s="110">
        <v>2.5000000000000001E-2</v>
      </c>
      <c r="O53" s="110">
        <f>'TALENTO HUMANO'!$O$32</f>
        <v>0</v>
      </c>
      <c r="P53" s="339"/>
      <c r="Q53" s="340"/>
      <c r="R53" s="341"/>
      <c r="S53" s="78">
        <v>0</v>
      </c>
      <c r="T53" s="140" t="s">
        <v>10</v>
      </c>
      <c r="U53" s="187" t="str">
        <f>'TALENTO HUMANO'!$U$32</f>
        <v>ACCIÓN CORRECTIVA</v>
      </c>
      <c r="V53" s="47"/>
      <c r="W53" s="22"/>
    </row>
    <row r="54" spans="2:23" ht="144.75" customHeight="1" thickBot="1" x14ac:dyDescent="0.3">
      <c r="B54" s="111">
        <v>45</v>
      </c>
      <c r="C54" s="329"/>
      <c r="D54" s="329"/>
      <c r="E54" s="329"/>
      <c r="F54" s="329"/>
      <c r="G54" s="329"/>
      <c r="H54" s="329"/>
      <c r="I54" s="330"/>
      <c r="J54" s="329"/>
      <c r="K54" s="329"/>
      <c r="L54" s="329"/>
      <c r="M54" s="69" t="s">
        <v>210</v>
      </c>
      <c r="N54" s="110">
        <v>2.5000000000000001E-2</v>
      </c>
      <c r="O54" s="110">
        <f>'TALENTO HUMANO'!$O$33</f>
        <v>1</v>
      </c>
      <c r="P54" s="339"/>
      <c r="Q54" s="340"/>
      <c r="R54" s="341"/>
      <c r="S54" s="78">
        <v>0</v>
      </c>
      <c r="T54" s="140" t="s">
        <v>10</v>
      </c>
      <c r="U54" s="187" t="str">
        <f>'TALENTO HUMANO'!$U$33</f>
        <v>FAVORABLES</v>
      </c>
      <c r="V54" s="47"/>
      <c r="W54" s="22"/>
    </row>
    <row r="55" spans="2:23" ht="144.75" customHeight="1" thickBot="1" x14ac:dyDescent="0.3">
      <c r="B55" s="111">
        <v>46</v>
      </c>
      <c r="C55" s="329"/>
      <c r="D55" s="329"/>
      <c r="E55" s="329"/>
      <c r="F55" s="329"/>
      <c r="G55" s="329"/>
      <c r="H55" s="329"/>
      <c r="I55" s="330"/>
      <c r="J55" s="329"/>
      <c r="K55" s="329"/>
      <c r="L55" s="329"/>
      <c r="M55" s="69" t="s">
        <v>211</v>
      </c>
      <c r="N55" s="110">
        <v>2.5000000000000001E-2</v>
      </c>
      <c r="O55" s="110">
        <f>'TALENTO HUMANO'!$O$34</f>
        <v>1</v>
      </c>
      <c r="P55" s="339"/>
      <c r="Q55" s="340"/>
      <c r="R55" s="341"/>
      <c r="S55" s="78">
        <v>0</v>
      </c>
      <c r="T55" s="140" t="s">
        <v>10</v>
      </c>
      <c r="U55" s="188" t="str">
        <f>'TALENTO HUMANO'!$U$34</f>
        <v>FAVORABLES</v>
      </c>
      <c r="V55" s="47"/>
      <c r="W55" s="22"/>
    </row>
    <row r="56" spans="2:23" ht="144.75" customHeight="1" thickBot="1" x14ac:dyDescent="0.3">
      <c r="B56" s="111">
        <v>47</v>
      </c>
      <c r="C56" s="329"/>
      <c r="D56" s="329"/>
      <c r="E56" s="329"/>
      <c r="F56" s="329"/>
      <c r="G56" s="329"/>
      <c r="H56" s="329"/>
      <c r="I56" s="330"/>
      <c r="J56" s="329"/>
      <c r="K56" s="329"/>
      <c r="L56" s="329"/>
      <c r="M56" s="69" t="s">
        <v>212</v>
      </c>
      <c r="N56" s="110">
        <v>2.5000000000000001E-2</v>
      </c>
      <c r="O56" s="110">
        <f>'TALENTO HUMANO'!$O$35</f>
        <v>0</v>
      </c>
      <c r="P56" s="339"/>
      <c r="Q56" s="340"/>
      <c r="R56" s="341"/>
      <c r="S56" s="78">
        <v>0</v>
      </c>
      <c r="T56" s="140" t="s">
        <v>10</v>
      </c>
      <c r="U56" s="187" t="str">
        <f>'TALENTO HUMANO'!$U$35</f>
        <v>ACCIÓN CORRECTIVA</v>
      </c>
      <c r="V56" s="47"/>
      <c r="W56" s="22"/>
    </row>
    <row r="57" spans="2:23" ht="144.75" customHeight="1" thickBot="1" x14ac:dyDescent="0.3">
      <c r="B57" s="111">
        <v>48</v>
      </c>
      <c r="C57" s="329"/>
      <c r="D57" s="329"/>
      <c r="E57" s="329"/>
      <c r="F57" s="329"/>
      <c r="G57" s="329"/>
      <c r="H57" s="329"/>
      <c r="I57" s="330"/>
      <c r="J57" s="329"/>
      <c r="K57" s="329"/>
      <c r="L57" s="329"/>
      <c r="M57" s="69" t="s">
        <v>213</v>
      </c>
      <c r="N57" s="110">
        <v>2.5000000000000001E-2</v>
      </c>
      <c r="O57" s="110">
        <f>'TALENTO HUMANO'!$O$36</f>
        <v>0</v>
      </c>
      <c r="P57" s="339"/>
      <c r="Q57" s="340"/>
      <c r="R57" s="341"/>
      <c r="S57" s="78">
        <v>0</v>
      </c>
      <c r="T57" s="140" t="s">
        <v>10</v>
      </c>
      <c r="U57" s="187" t="str">
        <f>'TALENTO HUMANO'!$U$36</f>
        <v>ACCIÓN CORRECTIVA</v>
      </c>
      <c r="V57" s="47"/>
      <c r="W57" s="22"/>
    </row>
    <row r="58" spans="2:23" ht="144.75" customHeight="1" thickBot="1" x14ac:dyDescent="0.3">
      <c r="B58" s="111">
        <v>49</v>
      </c>
      <c r="C58" s="329"/>
      <c r="D58" s="329"/>
      <c r="E58" s="329"/>
      <c r="F58" s="329"/>
      <c r="G58" s="329"/>
      <c r="H58" s="329"/>
      <c r="I58" s="330"/>
      <c r="J58" s="329"/>
      <c r="K58" s="329"/>
      <c r="L58" s="329"/>
      <c r="M58" s="69" t="s">
        <v>214</v>
      </c>
      <c r="N58" s="110">
        <v>2.5000000000000001E-2</v>
      </c>
      <c r="O58" s="110">
        <f>'TALENTO HUMANO'!$O$37</f>
        <v>0</v>
      </c>
      <c r="P58" s="339"/>
      <c r="Q58" s="340"/>
      <c r="R58" s="341"/>
      <c r="S58" s="78">
        <v>0</v>
      </c>
      <c r="T58" s="140" t="s">
        <v>10</v>
      </c>
      <c r="U58" s="187" t="str">
        <f>'TALENTO HUMANO'!$U$37</f>
        <v>ACCIÓN CORRECTIVA</v>
      </c>
      <c r="V58" s="47"/>
      <c r="W58" s="22"/>
    </row>
    <row r="59" spans="2:23" ht="144.75" customHeight="1" thickBot="1" x14ac:dyDescent="0.3">
      <c r="B59" s="111">
        <v>50</v>
      </c>
      <c r="C59" s="329"/>
      <c r="D59" s="329"/>
      <c r="E59" s="329"/>
      <c r="F59" s="329"/>
      <c r="G59" s="329"/>
      <c r="H59" s="329"/>
      <c r="I59" s="330"/>
      <c r="J59" s="329"/>
      <c r="K59" s="329"/>
      <c r="L59" s="329"/>
      <c r="M59" s="69" t="s">
        <v>215</v>
      </c>
      <c r="N59" s="110">
        <v>2.5000000000000001E-2</v>
      </c>
      <c r="O59" s="110">
        <f>'TALENTO HUMANO'!$O$38</f>
        <v>1</v>
      </c>
      <c r="P59" s="339"/>
      <c r="Q59" s="340"/>
      <c r="R59" s="341"/>
      <c r="S59" s="78">
        <v>0</v>
      </c>
      <c r="T59" s="140" t="s">
        <v>10</v>
      </c>
      <c r="U59" s="187" t="str">
        <f>'TALENTO HUMANO'!$U$38</f>
        <v>FAVORABLES</v>
      </c>
      <c r="V59" s="47"/>
      <c r="W59" s="22"/>
    </row>
    <row r="60" spans="2:23" ht="213.75" customHeight="1" thickBot="1" x14ac:dyDescent="0.3">
      <c r="B60" s="111">
        <v>51</v>
      </c>
      <c r="C60" s="329"/>
      <c r="D60" s="329"/>
      <c r="E60" s="329"/>
      <c r="F60" s="329"/>
      <c r="G60" s="329"/>
      <c r="H60" s="144" t="s">
        <v>117</v>
      </c>
      <c r="I60" s="143" t="s">
        <v>89</v>
      </c>
      <c r="J60" s="144" t="s">
        <v>33</v>
      </c>
      <c r="K60" s="144" t="s">
        <v>2</v>
      </c>
      <c r="L60" s="144" t="s">
        <v>19</v>
      </c>
      <c r="M60" s="144" t="s">
        <v>262</v>
      </c>
      <c r="N60" s="110">
        <v>0.05</v>
      </c>
      <c r="O60" s="117">
        <f>'TALENTO HUMANO'!$O$39</f>
        <v>1</v>
      </c>
      <c r="P60" s="339"/>
      <c r="Q60" s="340"/>
      <c r="R60" s="341"/>
      <c r="S60" s="78">
        <v>0</v>
      </c>
      <c r="T60" s="140" t="s">
        <v>10</v>
      </c>
      <c r="U60" s="189" t="str">
        <f>'TALENTO HUMANO'!$U$39</f>
        <v>FAVORABLES</v>
      </c>
      <c r="V60" s="47"/>
      <c r="W60" s="22"/>
    </row>
    <row r="61" spans="2:23" ht="209.25" customHeight="1" thickBot="1" x14ac:dyDescent="0.3">
      <c r="B61" s="111">
        <v>52</v>
      </c>
      <c r="C61" s="329"/>
      <c r="D61" s="329"/>
      <c r="E61" s="329"/>
      <c r="F61" s="329"/>
      <c r="G61" s="329"/>
      <c r="H61" s="144" t="s">
        <v>118</v>
      </c>
      <c r="I61" s="143" t="s">
        <v>89</v>
      </c>
      <c r="J61" s="144" t="s">
        <v>33</v>
      </c>
      <c r="K61" s="144" t="s">
        <v>2</v>
      </c>
      <c r="L61" s="144" t="s">
        <v>19</v>
      </c>
      <c r="M61" s="144" t="s">
        <v>153</v>
      </c>
      <c r="N61" s="110">
        <v>0.05</v>
      </c>
      <c r="O61" s="117">
        <f>'TALENTO HUMANO'!$O$40</f>
        <v>1</v>
      </c>
      <c r="P61" s="339"/>
      <c r="Q61" s="340"/>
      <c r="R61" s="341"/>
      <c r="S61" s="78">
        <v>0</v>
      </c>
      <c r="T61" s="140" t="s">
        <v>10</v>
      </c>
      <c r="U61" s="189" t="str">
        <f>'TALENTO HUMANO'!$U$40</f>
        <v>FAVORABLES</v>
      </c>
      <c r="V61" s="47"/>
      <c r="W61" s="22"/>
    </row>
    <row r="62" spans="2:23" ht="222" customHeight="1" thickBot="1" x14ac:dyDescent="0.3">
      <c r="B62" s="111">
        <v>53</v>
      </c>
      <c r="C62" s="329"/>
      <c r="D62" s="329"/>
      <c r="E62" s="329"/>
      <c r="F62" s="329"/>
      <c r="G62" s="329"/>
      <c r="H62" s="144" t="s">
        <v>119</v>
      </c>
      <c r="I62" s="143" t="s">
        <v>89</v>
      </c>
      <c r="J62" s="144" t="s">
        <v>52</v>
      </c>
      <c r="K62" s="144" t="s">
        <v>2</v>
      </c>
      <c r="L62" s="144" t="s">
        <v>19</v>
      </c>
      <c r="M62" s="144" t="s">
        <v>263</v>
      </c>
      <c r="N62" s="110">
        <v>0.05</v>
      </c>
      <c r="O62" s="117">
        <f>'TALENTO HUMANO'!$O$41</f>
        <v>0</v>
      </c>
      <c r="P62" s="339"/>
      <c r="Q62" s="340"/>
      <c r="R62" s="341"/>
      <c r="S62" s="78">
        <v>0</v>
      </c>
      <c r="T62" s="140" t="s">
        <v>10</v>
      </c>
      <c r="U62" s="189" t="str">
        <f>'TALENTO HUMANO'!$U$41</f>
        <v>ACCIÓN CORRECTIVA</v>
      </c>
      <c r="V62" s="47"/>
      <c r="W62" s="22"/>
    </row>
    <row r="63" spans="2:23" ht="144" customHeight="1" thickBot="1" x14ac:dyDescent="0.3">
      <c r="B63" s="111">
        <v>54</v>
      </c>
      <c r="C63" s="329"/>
      <c r="D63" s="329"/>
      <c r="E63" s="329"/>
      <c r="F63" s="329"/>
      <c r="G63" s="329"/>
      <c r="H63" s="329" t="s">
        <v>120</v>
      </c>
      <c r="I63" s="330" t="s">
        <v>89</v>
      </c>
      <c r="J63" s="329" t="s">
        <v>3</v>
      </c>
      <c r="K63" s="329" t="s">
        <v>2</v>
      </c>
      <c r="L63" s="329" t="s">
        <v>19</v>
      </c>
      <c r="M63" s="144" t="s">
        <v>154</v>
      </c>
      <c r="N63" s="110">
        <v>0.05</v>
      </c>
      <c r="O63" s="117">
        <f>'TALENTO HUMANO'!$O$42</f>
        <v>0</v>
      </c>
      <c r="P63" s="339"/>
      <c r="Q63" s="340"/>
      <c r="R63" s="341"/>
      <c r="S63" s="78">
        <v>0</v>
      </c>
      <c r="T63" s="140" t="s">
        <v>10</v>
      </c>
      <c r="U63" s="189" t="str">
        <f>'TALENTO HUMANO'!$U$42</f>
        <v>ACCIÓN CORRECTIVA</v>
      </c>
      <c r="V63" s="47"/>
      <c r="W63" s="22"/>
    </row>
    <row r="64" spans="2:23" ht="144" customHeight="1" thickBot="1" x14ac:dyDescent="0.3">
      <c r="B64" s="111">
        <v>55</v>
      </c>
      <c r="C64" s="329"/>
      <c r="D64" s="329"/>
      <c r="E64" s="329"/>
      <c r="F64" s="329"/>
      <c r="G64" s="329"/>
      <c r="H64" s="329"/>
      <c r="I64" s="330"/>
      <c r="J64" s="329"/>
      <c r="K64" s="329"/>
      <c r="L64" s="329"/>
      <c r="M64" s="151" t="s">
        <v>184</v>
      </c>
      <c r="N64" s="110">
        <v>0.05</v>
      </c>
      <c r="O64" s="117">
        <f>'TALENTO HUMANO'!$O$43</f>
        <v>0</v>
      </c>
      <c r="P64" s="339"/>
      <c r="Q64" s="340"/>
      <c r="R64" s="341"/>
      <c r="S64" s="78">
        <v>0</v>
      </c>
      <c r="T64" s="110" t="s">
        <v>187</v>
      </c>
      <c r="U64" s="189" t="str">
        <f>'TALENTO HUMANO'!$U$43</f>
        <v>ACCIÓN CORRECTIVA</v>
      </c>
      <c r="V64" s="47"/>
      <c r="W64" s="22"/>
    </row>
    <row r="65" spans="2:23" ht="189" customHeight="1" thickBot="1" x14ac:dyDescent="0.3">
      <c r="B65" s="111">
        <v>56</v>
      </c>
      <c r="C65" s="329"/>
      <c r="D65" s="329"/>
      <c r="E65" s="329"/>
      <c r="F65" s="329"/>
      <c r="G65" s="329"/>
      <c r="H65" s="144" t="s">
        <v>121</v>
      </c>
      <c r="I65" s="143" t="s">
        <v>89</v>
      </c>
      <c r="J65" s="144" t="s">
        <v>33</v>
      </c>
      <c r="K65" s="144" t="s">
        <v>53</v>
      </c>
      <c r="L65" s="144" t="s">
        <v>19</v>
      </c>
      <c r="M65" s="144" t="s">
        <v>155</v>
      </c>
      <c r="N65" s="110">
        <v>0.05</v>
      </c>
      <c r="O65" s="117">
        <f>'TALENTO HUMANO'!$O$44</f>
        <v>1</v>
      </c>
      <c r="P65" s="339"/>
      <c r="Q65" s="340"/>
      <c r="R65" s="341"/>
      <c r="S65" s="78">
        <v>0</v>
      </c>
      <c r="T65" s="140" t="s">
        <v>10</v>
      </c>
      <c r="U65" s="189" t="str">
        <f>'TALENTO HUMANO'!$U$44</f>
        <v>FAVORABLES</v>
      </c>
      <c r="V65" s="47"/>
      <c r="W65" s="22"/>
    </row>
    <row r="66" spans="2:23" ht="192.75" customHeight="1" thickBot="1" x14ac:dyDescent="0.3">
      <c r="B66" s="111">
        <v>57</v>
      </c>
      <c r="C66" s="329"/>
      <c r="D66" s="329"/>
      <c r="E66" s="329"/>
      <c r="F66" s="329"/>
      <c r="G66" s="329"/>
      <c r="H66" s="144" t="s">
        <v>122</v>
      </c>
      <c r="I66" s="143" t="s">
        <v>89</v>
      </c>
      <c r="J66" s="144" t="s">
        <v>33</v>
      </c>
      <c r="K66" s="144" t="s">
        <v>54</v>
      </c>
      <c r="L66" s="144" t="s">
        <v>19</v>
      </c>
      <c r="M66" s="144" t="s">
        <v>152</v>
      </c>
      <c r="N66" s="110">
        <v>0.05</v>
      </c>
      <c r="O66" s="117">
        <f>'TALENTO HUMANO'!$O$45</f>
        <v>1</v>
      </c>
      <c r="P66" s="342"/>
      <c r="Q66" s="343"/>
      <c r="R66" s="344"/>
      <c r="S66" s="78">
        <v>0</v>
      </c>
      <c r="T66" s="140" t="s">
        <v>10</v>
      </c>
      <c r="U66" s="189" t="str">
        <f>'TALENTO HUMANO'!$U$45</f>
        <v>FAVORABLES</v>
      </c>
      <c r="V66" s="47"/>
      <c r="W66" s="22"/>
    </row>
    <row r="67" spans="2:23" ht="194.25" customHeight="1" thickBot="1" x14ac:dyDescent="0.3">
      <c r="B67" s="111">
        <v>58</v>
      </c>
      <c r="C67" s="329" t="s">
        <v>30</v>
      </c>
      <c r="D67" s="329" t="s">
        <v>38</v>
      </c>
      <c r="E67" s="329"/>
      <c r="F67" s="329"/>
      <c r="G67" s="329"/>
      <c r="H67" s="143" t="s">
        <v>162</v>
      </c>
      <c r="I67" s="143" t="s">
        <v>88</v>
      </c>
      <c r="J67" s="144" t="s">
        <v>69</v>
      </c>
      <c r="K67" s="144" t="s">
        <v>26</v>
      </c>
      <c r="L67" s="144" t="s">
        <v>19</v>
      </c>
      <c r="M67" s="151" t="s">
        <v>184</v>
      </c>
      <c r="N67" s="110">
        <v>0.3</v>
      </c>
      <c r="O67" s="117">
        <f>'COMUNICACIONES INSTITUCIONALES '!$O$10</f>
        <v>11.5</v>
      </c>
      <c r="P67" s="345">
        <f>(N67*O67)+(N68*O68)+(N69*O69)+(N70*O70)+(N71*O71)</f>
        <v>4.0959365615615617</v>
      </c>
      <c r="Q67" s="346"/>
      <c r="R67" s="347"/>
      <c r="S67" s="78">
        <v>0</v>
      </c>
      <c r="T67" s="78" t="s">
        <v>187</v>
      </c>
      <c r="U67" s="189" t="str">
        <f>'COMUNICACIONES INSTITUCIONALES '!$U$10</f>
        <v>FAVORABLES</v>
      </c>
      <c r="V67" s="47"/>
      <c r="W67" s="22"/>
    </row>
    <row r="68" spans="2:23" ht="198" customHeight="1" thickBot="1" x14ac:dyDescent="0.3">
      <c r="B68" s="111">
        <v>59</v>
      </c>
      <c r="C68" s="329"/>
      <c r="D68" s="329"/>
      <c r="E68" s="329"/>
      <c r="F68" s="329"/>
      <c r="G68" s="329"/>
      <c r="H68" s="144" t="s">
        <v>73</v>
      </c>
      <c r="I68" s="143" t="s">
        <v>88</v>
      </c>
      <c r="J68" s="144" t="s">
        <v>69</v>
      </c>
      <c r="K68" s="144" t="s">
        <v>26</v>
      </c>
      <c r="L68" s="144" t="s">
        <v>19</v>
      </c>
      <c r="M68" s="152" t="s">
        <v>77</v>
      </c>
      <c r="N68" s="75">
        <v>0.15</v>
      </c>
      <c r="O68" s="117">
        <f>'COMUNICACIONES INSTITUCIONALES '!$O$11</f>
        <v>0.72685185185185186</v>
      </c>
      <c r="P68" s="348"/>
      <c r="Q68" s="349"/>
      <c r="R68" s="350"/>
      <c r="S68" s="119">
        <v>820</v>
      </c>
      <c r="T68" s="78">
        <v>1</v>
      </c>
      <c r="U68" s="189" t="str">
        <f>'COMUNICACIONES INSTITUCIONALES '!$U$11</f>
        <v>FAVORABLES</v>
      </c>
      <c r="V68" s="46"/>
      <c r="W68" s="22"/>
    </row>
    <row r="69" spans="2:23" ht="197.25" customHeight="1" thickBot="1" x14ac:dyDescent="0.3">
      <c r="B69" s="111">
        <v>60</v>
      </c>
      <c r="C69" s="329"/>
      <c r="D69" s="329"/>
      <c r="E69" s="329"/>
      <c r="F69" s="329"/>
      <c r="G69" s="329"/>
      <c r="H69" s="144" t="s">
        <v>74</v>
      </c>
      <c r="I69" s="143" t="s">
        <v>88</v>
      </c>
      <c r="J69" s="144" t="s">
        <v>69</v>
      </c>
      <c r="K69" s="144" t="s">
        <v>26</v>
      </c>
      <c r="L69" s="144" t="s">
        <v>19</v>
      </c>
      <c r="M69" s="152" t="s">
        <v>271</v>
      </c>
      <c r="N69" s="75">
        <v>0.25</v>
      </c>
      <c r="O69" s="117">
        <f>'COMUNICACIONES INSTITUCIONALES '!$O$12</f>
        <v>1</v>
      </c>
      <c r="P69" s="348"/>
      <c r="Q69" s="349"/>
      <c r="R69" s="350"/>
      <c r="S69" s="120">
        <v>83</v>
      </c>
      <c r="T69" s="78">
        <v>1</v>
      </c>
      <c r="U69" s="189" t="str">
        <f>'COMUNICACIONES INSTITUCIONALES '!$U$12</f>
        <v>FAVORABLES</v>
      </c>
      <c r="V69" s="46"/>
      <c r="W69" s="22"/>
    </row>
    <row r="70" spans="2:23" ht="211.5" customHeight="1" thickBot="1" x14ac:dyDescent="0.3">
      <c r="B70" s="111">
        <v>61</v>
      </c>
      <c r="C70" s="329"/>
      <c r="D70" s="329"/>
      <c r="E70" s="329"/>
      <c r="F70" s="329"/>
      <c r="G70" s="329"/>
      <c r="H70" s="144" t="s">
        <v>75</v>
      </c>
      <c r="I70" s="143" t="s">
        <v>88</v>
      </c>
      <c r="J70" s="144" t="s">
        <v>76</v>
      </c>
      <c r="K70" s="144" t="s">
        <v>26</v>
      </c>
      <c r="L70" s="144" t="s">
        <v>19</v>
      </c>
      <c r="M70" s="152" t="s">
        <v>272</v>
      </c>
      <c r="N70" s="75">
        <v>0.15</v>
      </c>
      <c r="O70" s="117">
        <f>'COMUNICACIONES INSTITUCIONALES '!$O$13</f>
        <v>0.52083333333333337</v>
      </c>
      <c r="P70" s="348"/>
      <c r="Q70" s="349"/>
      <c r="R70" s="350"/>
      <c r="S70" s="120">
        <v>48</v>
      </c>
      <c r="T70" s="78">
        <v>1</v>
      </c>
      <c r="U70" s="189" t="str">
        <f>'COMUNICACIONES INSTITUCIONALES '!$U$13</f>
        <v>FAVORABLES</v>
      </c>
      <c r="V70" s="46"/>
      <c r="W70" s="22"/>
    </row>
    <row r="71" spans="2:23" ht="207.75" customHeight="1" thickBot="1" x14ac:dyDescent="0.3">
      <c r="B71" s="111">
        <v>62</v>
      </c>
      <c r="C71" s="329"/>
      <c r="D71" s="329"/>
      <c r="E71" s="329"/>
      <c r="F71" s="329"/>
      <c r="G71" s="329"/>
      <c r="H71" s="144" t="s">
        <v>273</v>
      </c>
      <c r="I71" s="143" t="s">
        <v>88</v>
      </c>
      <c r="J71" s="144" t="s">
        <v>68</v>
      </c>
      <c r="K71" s="144" t="s">
        <v>26</v>
      </c>
      <c r="L71" s="144" t="s">
        <v>19</v>
      </c>
      <c r="M71" s="152" t="s">
        <v>78</v>
      </c>
      <c r="N71" s="75">
        <v>0.15</v>
      </c>
      <c r="O71" s="117">
        <f>'COMUNICACIONES INSTITUCIONALES '!$O$14</f>
        <v>1.3918918918918919</v>
      </c>
      <c r="P71" s="351"/>
      <c r="Q71" s="352"/>
      <c r="R71" s="353"/>
      <c r="S71" s="120">
        <v>37000</v>
      </c>
      <c r="T71" s="78">
        <v>1</v>
      </c>
      <c r="U71" s="189" t="str">
        <f>'COMUNICACIONES INSTITUCIONALES '!$U$14</f>
        <v>FAVORABLES</v>
      </c>
      <c r="V71" s="46"/>
      <c r="W71" s="22"/>
    </row>
    <row r="72" spans="2:23" ht="144" customHeight="1" thickBot="1" x14ac:dyDescent="0.3">
      <c r="B72" s="111">
        <v>63</v>
      </c>
      <c r="C72" s="329" t="s">
        <v>30</v>
      </c>
      <c r="D72" s="329" t="s">
        <v>39</v>
      </c>
      <c r="E72" s="329"/>
      <c r="F72" s="329"/>
      <c r="G72" s="329"/>
      <c r="H72" s="329" t="s">
        <v>170</v>
      </c>
      <c r="I72" s="330" t="s">
        <v>255</v>
      </c>
      <c r="J72" s="144" t="s">
        <v>164</v>
      </c>
      <c r="K72" s="144" t="s">
        <v>26</v>
      </c>
      <c r="L72" s="144" t="s">
        <v>19</v>
      </c>
      <c r="M72" s="151" t="s">
        <v>165</v>
      </c>
      <c r="N72" s="75">
        <v>7.6899999999999996E-2</v>
      </c>
      <c r="O72" s="117">
        <f>'GESTIÓN DE PRODUCCIÓN'!$O$10</f>
        <v>1.1666666666666667</v>
      </c>
      <c r="P72" s="354">
        <f>(N72*O72)+(N73*O73)+(N74*O74)+(N75*O75)+(N76*O76)+(N77*O77)+(N78*O78)+(N79*O79)+(N80*O80)+(N81*O81)+(N82*O82)</f>
        <v>0.61947483957233351</v>
      </c>
      <c r="Q72" s="355"/>
      <c r="R72" s="356"/>
      <c r="S72" s="76">
        <v>0.625</v>
      </c>
      <c r="T72" s="76" t="s">
        <v>167</v>
      </c>
      <c r="U72" s="189" t="str">
        <f>'GESTIÓN DE PRODUCCIÓN'!$U$10</f>
        <v>FAVORABLES</v>
      </c>
      <c r="V72" s="46"/>
      <c r="W72" s="22"/>
    </row>
    <row r="73" spans="2:23" ht="144" customHeight="1" thickBot="1" x14ac:dyDescent="0.3">
      <c r="B73" s="111">
        <v>64</v>
      </c>
      <c r="C73" s="329"/>
      <c r="D73" s="329"/>
      <c r="E73" s="329"/>
      <c r="F73" s="329"/>
      <c r="G73" s="329"/>
      <c r="H73" s="329"/>
      <c r="I73" s="330"/>
      <c r="J73" s="144" t="s">
        <v>164</v>
      </c>
      <c r="K73" s="144" t="s">
        <v>26</v>
      </c>
      <c r="L73" s="144" t="s">
        <v>19</v>
      </c>
      <c r="M73" s="151" t="s">
        <v>166</v>
      </c>
      <c r="N73" s="75">
        <v>7.6899999999999996E-2</v>
      </c>
      <c r="O73" s="117">
        <f>'GESTIÓN DE PRODUCCIÓN'!$O$11</f>
        <v>1.0289473684210499</v>
      </c>
      <c r="P73" s="357"/>
      <c r="Q73" s="358"/>
      <c r="R73" s="359"/>
      <c r="S73" s="76">
        <v>0.81</v>
      </c>
      <c r="T73" s="76" t="s">
        <v>168</v>
      </c>
      <c r="U73" s="189" t="str">
        <f>'GESTIÓN DE PRODUCCIÓN'!$U$11</f>
        <v>FAVORABLES</v>
      </c>
      <c r="V73" s="46"/>
      <c r="W73" s="22"/>
    </row>
    <row r="74" spans="2:23" ht="144" customHeight="1" thickBot="1" x14ac:dyDescent="0.3">
      <c r="B74" s="111">
        <v>65</v>
      </c>
      <c r="C74" s="329"/>
      <c r="D74" s="329"/>
      <c r="E74" s="329"/>
      <c r="F74" s="329"/>
      <c r="G74" s="329"/>
      <c r="H74" s="329"/>
      <c r="I74" s="330"/>
      <c r="J74" s="144" t="s">
        <v>138</v>
      </c>
      <c r="K74" s="144" t="s">
        <v>26</v>
      </c>
      <c r="L74" s="144" t="s">
        <v>19</v>
      </c>
      <c r="M74" s="144" t="s">
        <v>241</v>
      </c>
      <c r="N74" s="75">
        <v>7.6899999999999996E-2</v>
      </c>
      <c r="O74" s="117">
        <f>'GESTIÓN DE PRODUCCIÓN'!$O$12</f>
        <v>7.5170068027210898E-3</v>
      </c>
      <c r="P74" s="357"/>
      <c r="Q74" s="358"/>
      <c r="R74" s="359"/>
      <c r="S74" s="75">
        <v>0.46</v>
      </c>
      <c r="T74" s="78">
        <v>0.95</v>
      </c>
      <c r="U74" s="189" t="str">
        <f>'GESTIÓN DE PRODUCCIÓN'!$U$12</f>
        <v>RIESGO</v>
      </c>
      <c r="V74" s="46"/>
      <c r="W74" s="22"/>
    </row>
    <row r="75" spans="2:23" ht="144" customHeight="1" thickBot="1" x14ac:dyDescent="0.3">
      <c r="B75" s="111">
        <v>66</v>
      </c>
      <c r="C75" s="329"/>
      <c r="D75" s="329"/>
      <c r="E75" s="329"/>
      <c r="F75" s="329"/>
      <c r="G75" s="329"/>
      <c r="H75" s="329" t="s">
        <v>169</v>
      </c>
      <c r="I75" s="330" t="s">
        <v>255</v>
      </c>
      <c r="J75" s="144" t="s">
        <v>84</v>
      </c>
      <c r="K75" s="144" t="s">
        <v>26</v>
      </c>
      <c r="L75" s="144" t="s">
        <v>19</v>
      </c>
      <c r="M75" s="144" t="s">
        <v>241</v>
      </c>
      <c r="N75" s="75">
        <v>0.106</v>
      </c>
      <c r="O75" s="78">
        <f>'CONTROL DE CALIDAD'!$O$12</f>
        <v>0.68867924528301883</v>
      </c>
      <c r="P75" s="357"/>
      <c r="Q75" s="358"/>
      <c r="R75" s="359"/>
      <c r="S75" s="78">
        <v>0</v>
      </c>
      <c r="T75" s="78">
        <v>1</v>
      </c>
      <c r="U75" s="190" t="str">
        <f>'CONTROL DE CALIDAD'!$U$12</f>
        <v>FAVORABLES</v>
      </c>
      <c r="V75" s="46"/>
      <c r="W75" s="22"/>
    </row>
    <row r="76" spans="2:23" ht="144" customHeight="1" thickBot="1" x14ac:dyDescent="0.3">
      <c r="B76" s="111">
        <v>67</v>
      </c>
      <c r="C76" s="329"/>
      <c r="D76" s="329"/>
      <c r="E76" s="329"/>
      <c r="F76" s="329"/>
      <c r="G76" s="329"/>
      <c r="H76" s="329"/>
      <c r="I76" s="330"/>
      <c r="J76" s="144" t="s">
        <v>84</v>
      </c>
      <c r="K76" s="144" t="s">
        <v>26</v>
      </c>
      <c r="L76" s="144" t="s">
        <v>19</v>
      </c>
      <c r="M76" s="144" t="s">
        <v>171</v>
      </c>
      <c r="N76" s="75">
        <v>0.106</v>
      </c>
      <c r="O76" s="78">
        <f>'CONTROL DE CALIDAD'!$O$13</f>
        <v>0.31132075471698112</v>
      </c>
      <c r="P76" s="357"/>
      <c r="Q76" s="358"/>
      <c r="R76" s="359"/>
      <c r="S76" s="78">
        <v>0</v>
      </c>
      <c r="T76" s="78">
        <v>1</v>
      </c>
      <c r="U76" s="190" t="str">
        <f>'CONTROL DE CALIDAD'!$U$13</f>
        <v>ACCIÓN CORRECTIVA</v>
      </c>
      <c r="V76" s="46"/>
      <c r="W76" s="22"/>
    </row>
    <row r="77" spans="2:23" ht="144" customHeight="1" thickBot="1" x14ac:dyDescent="0.3">
      <c r="B77" s="111">
        <v>68</v>
      </c>
      <c r="C77" s="329"/>
      <c r="D77" s="329"/>
      <c r="E77" s="329"/>
      <c r="F77" s="329"/>
      <c r="G77" s="329"/>
      <c r="H77" s="329"/>
      <c r="I77" s="330"/>
      <c r="J77" s="144" t="s">
        <v>84</v>
      </c>
      <c r="K77" s="144" t="s">
        <v>26</v>
      </c>
      <c r="L77" s="144" t="s">
        <v>19</v>
      </c>
      <c r="M77" s="144" t="s">
        <v>256</v>
      </c>
      <c r="N77" s="75">
        <v>0.106</v>
      </c>
      <c r="O77" s="78">
        <f>'CONTROL DE CALIDAD'!$O$14</f>
        <v>0</v>
      </c>
      <c r="P77" s="357"/>
      <c r="Q77" s="358"/>
      <c r="R77" s="359"/>
      <c r="S77" s="78">
        <v>0</v>
      </c>
      <c r="T77" s="78" t="s">
        <v>195</v>
      </c>
      <c r="U77" s="190" t="str">
        <f>'CONTROL DE CALIDAD'!$U$14</f>
        <v>ACCIÓN CORRECTIVA</v>
      </c>
      <c r="V77" s="46"/>
      <c r="W77" s="22"/>
    </row>
    <row r="78" spans="2:23" ht="196.5" customHeight="1" thickBot="1" x14ac:dyDescent="0.3">
      <c r="B78" s="111">
        <v>69</v>
      </c>
      <c r="C78" s="329"/>
      <c r="D78" s="329"/>
      <c r="E78" s="329"/>
      <c r="F78" s="329"/>
      <c r="G78" s="329"/>
      <c r="H78" s="329" t="s">
        <v>95</v>
      </c>
      <c r="I78" s="330" t="s">
        <v>91</v>
      </c>
      <c r="J78" s="329" t="s">
        <v>164</v>
      </c>
      <c r="K78" s="329" t="s">
        <v>26</v>
      </c>
      <c r="L78" s="144" t="s">
        <v>92</v>
      </c>
      <c r="M78" s="153" t="s">
        <v>93</v>
      </c>
      <c r="N78" s="75">
        <v>0.14000000000000001</v>
      </c>
      <c r="O78" s="80">
        <f>'GESTIÓN DE PRODUCCIÓN'!$O$13</f>
        <v>0.85376127560770132</v>
      </c>
      <c r="P78" s="357"/>
      <c r="Q78" s="358"/>
      <c r="R78" s="359"/>
      <c r="S78" s="78" t="s">
        <v>274</v>
      </c>
      <c r="T78" s="78">
        <v>1</v>
      </c>
      <c r="U78" s="191" t="str">
        <f>'GESTIÓN DE PRODUCCIÓN'!$U$13</f>
        <v>FAVORABLES</v>
      </c>
      <c r="V78" s="46"/>
      <c r="W78" s="22"/>
    </row>
    <row r="79" spans="2:23" ht="203.25" customHeight="1" thickBot="1" x14ac:dyDescent="0.3">
      <c r="B79" s="111">
        <v>70</v>
      </c>
      <c r="C79" s="329"/>
      <c r="D79" s="329"/>
      <c r="E79" s="329"/>
      <c r="F79" s="329"/>
      <c r="G79" s="329"/>
      <c r="H79" s="329"/>
      <c r="I79" s="330"/>
      <c r="J79" s="329"/>
      <c r="K79" s="329"/>
      <c r="L79" s="136" t="s">
        <v>92</v>
      </c>
      <c r="M79" s="153" t="s">
        <v>235</v>
      </c>
      <c r="N79" s="75">
        <v>7.6899999999999996E-2</v>
      </c>
      <c r="O79" s="80">
        <f>'GESTIÓN DE PRODUCCIÓN'!$O$14</f>
        <v>0.77188576375557316</v>
      </c>
      <c r="P79" s="357"/>
      <c r="Q79" s="358"/>
      <c r="R79" s="359"/>
      <c r="S79" s="78" t="s">
        <v>274</v>
      </c>
      <c r="T79" s="78">
        <v>1</v>
      </c>
      <c r="U79" s="191" t="str">
        <f>'GESTIÓN DE PRODUCCIÓN'!$U$14</f>
        <v>FAVORABLES</v>
      </c>
      <c r="V79" s="46"/>
      <c r="W79" s="22"/>
    </row>
    <row r="80" spans="2:23" ht="152.25" customHeight="1" thickBot="1" x14ac:dyDescent="0.3">
      <c r="B80" s="111">
        <v>71</v>
      </c>
      <c r="C80" s="329"/>
      <c r="D80" s="329"/>
      <c r="E80" s="329"/>
      <c r="F80" s="329"/>
      <c r="G80" s="329"/>
      <c r="H80" s="329"/>
      <c r="I80" s="330"/>
      <c r="J80" s="329"/>
      <c r="K80" s="329"/>
      <c r="L80" s="136" t="s">
        <v>92</v>
      </c>
      <c r="M80" s="153"/>
      <c r="N80" s="75">
        <v>7.6899999999999996E-2</v>
      </c>
      <c r="O80" s="80">
        <f>'GESTIÓN DE PRODUCCIÓN'!$O$15</f>
        <v>1.0130735072559209</v>
      </c>
      <c r="P80" s="357"/>
      <c r="Q80" s="358"/>
      <c r="R80" s="359"/>
      <c r="S80" s="78">
        <v>0</v>
      </c>
      <c r="T80" s="78">
        <v>0.9</v>
      </c>
      <c r="U80" s="191" t="str">
        <f>'GESTIÓN DE PRODUCCIÓN'!$U$15</f>
        <v>FAVORABLES</v>
      </c>
      <c r="V80" s="46"/>
      <c r="W80" s="22"/>
    </row>
    <row r="81" spans="2:23" ht="189" customHeight="1" thickBot="1" x14ac:dyDescent="0.3">
      <c r="B81" s="111">
        <v>72</v>
      </c>
      <c r="C81" s="329"/>
      <c r="D81" s="329"/>
      <c r="E81" s="329"/>
      <c r="F81" s="329"/>
      <c r="G81" s="329"/>
      <c r="H81" s="329" t="s">
        <v>96</v>
      </c>
      <c r="I81" s="330"/>
      <c r="J81" s="329"/>
      <c r="K81" s="329"/>
      <c r="L81" s="136" t="s">
        <v>92</v>
      </c>
      <c r="M81" s="153" t="s">
        <v>94</v>
      </c>
      <c r="N81" s="75">
        <v>7.6899999999999996E-2</v>
      </c>
      <c r="O81" s="80">
        <f>'GESTIÓN DE PRODUCCIÓN'!$O$16</f>
        <v>0.87904328018223232</v>
      </c>
      <c r="P81" s="357"/>
      <c r="Q81" s="358"/>
      <c r="R81" s="359"/>
      <c r="S81" s="78" t="s">
        <v>274</v>
      </c>
      <c r="T81" s="78">
        <v>0.9</v>
      </c>
      <c r="U81" s="191" t="str">
        <f>'GESTIÓN DE PRODUCCIÓN'!$U$16</f>
        <v>FAVORABLES</v>
      </c>
      <c r="V81" s="46"/>
      <c r="W81" s="22"/>
    </row>
    <row r="82" spans="2:23" ht="148.5" customHeight="1" thickBot="1" x14ac:dyDescent="0.3">
      <c r="B82" s="111">
        <v>73</v>
      </c>
      <c r="C82" s="329"/>
      <c r="D82" s="329"/>
      <c r="E82" s="329"/>
      <c r="F82" s="329"/>
      <c r="G82" s="329"/>
      <c r="H82" s="329"/>
      <c r="I82" s="330"/>
      <c r="J82" s="329"/>
      <c r="K82" s="329"/>
      <c r="L82" s="136" t="s">
        <v>92</v>
      </c>
      <c r="M82" s="153" t="s">
        <v>94</v>
      </c>
      <c r="N82" s="75">
        <v>7.6899999999999996E-2</v>
      </c>
      <c r="O82" s="80">
        <f>'GESTIÓN DE PRODUCCIÓN'!$O$17</f>
        <v>0.25573065902578795</v>
      </c>
      <c r="P82" s="360"/>
      <c r="Q82" s="361"/>
      <c r="R82" s="362"/>
      <c r="S82" s="78" t="s">
        <v>274</v>
      </c>
      <c r="T82" s="78">
        <v>0.9</v>
      </c>
      <c r="U82" s="191" t="str">
        <f>'GESTIÓN DE PRODUCCIÓN'!$U$17</f>
        <v>ACCIÓN CORRECTIVA</v>
      </c>
      <c r="V82" s="46"/>
      <c r="W82" s="22"/>
    </row>
    <row r="83" spans="2:23" ht="177.75" customHeight="1" thickBot="1" x14ac:dyDescent="0.3">
      <c r="B83" s="111">
        <v>74</v>
      </c>
      <c r="C83" s="329" t="s">
        <v>31</v>
      </c>
      <c r="D83" s="329" t="s">
        <v>97</v>
      </c>
      <c r="E83" s="329"/>
      <c r="F83" s="329"/>
      <c r="G83" s="329"/>
      <c r="H83" s="143" t="s">
        <v>162</v>
      </c>
      <c r="I83" s="143" t="s">
        <v>100</v>
      </c>
      <c r="J83" s="144" t="s">
        <v>99</v>
      </c>
      <c r="K83" s="144" t="s">
        <v>26</v>
      </c>
      <c r="L83" s="144" t="s">
        <v>19</v>
      </c>
      <c r="M83" s="151" t="s">
        <v>236</v>
      </c>
      <c r="N83" s="75">
        <v>0.3</v>
      </c>
      <c r="O83" s="80">
        <f>'GESTIÓN JURIDICA'!$O$10</f>
        <v>0</v>
      </c>
      <c r="P83" s="336">
        <f>(N83*O83)+(N84*O84)+(N85*O85)+(N86*O86)+(N87*O87)+(N88*O88)</f>
        <v>0.55000000000000004</v>
      </c>
      <c r="Q83" s="337"/>
      <c r="R83" s="338"/>
      <c r="S83" s="78">
        <v>0</v>
      </c>
      <c r="T83" s="78" t="s">
        <v>187</v>
      </c>
      <c r="U83" s="191" t="str">
        <f>'GESTIÓN JURIDICA'!$U$10</f>
        <v>ACCIÓN CORRECTIVA</v>
      </c>
      <c r="V83" s="46"/>
      <c r="W83" s="22"/>
    </row>
    <row r="84" spans="2:23" ht="177.75" customHeight="1" thickBot="1" x14ac:dyDescent="0.3">
      <c r="B84" s="111">
        <v>75</v>
      </c>
      <c r="C84" s="329"/>
      <c r="D84" s="329"/>
      <c r="E84" s="329"/>
      <c r="F84" s="329"/>
      <c r="G84" s="329"/>
      <c r="H84" s="144" t="s">
        <v>123</v>
      </c>
      <c r="I84" s="143" t="s">
        <v>100</v>
      </c>
      <c r="J84" s="144" t="s">
        <v>99</v>
      </c>
      <c r="K84" s="144" t="s">
        <v>26</v>
      </c>
      <c r="L84" s="144" t="s">
        <v>19</v>
      </c>
      <c r="M84" s="144" t="s">
        <v>275</v>
      </c>
      <c r="N84" s="75">
        <v>0.1</v>
      </c>
      <c r="O84" s="80">
        <f>'GESTIÓN JURIDICA'!$O$11</f>
        <v>1</v>
      </c>
      <c r="P84" s="339"/>
      <c r="Q84" s="340"/>
      <c r="R84" s="341"/>
      <c r="S84" s="78">
        <v>1</v>
      </c>
      <c r="T84" s="78">
        <v>1</v>
      </c>
      <c r="U84" s="191" t="str">
        <f>'GESTIÓN JURIDICA'!$U$11</f>
        <v>FAVORABLES</v>
      </c>
      <c r="V84" s="46"/>
      <c r="W84" s="22"/>
    </row>
    <row r="85" spans="2:23" ht="177.75" customHeight="1" thickBot="1" x14ac:dyDescent="0.3">
      <c r="B85" s="111">
        <v>76</v>
      </c>
      <c r="C85" s="329"/>
      <c r="D85" s="329"/>
      <c r="E85" s="329"/>
      <c r="F85" s="329"/>
      <c r="G85" s="329"/>
      <c r="H85" s="144" t="s">
        <v>276</v>
      </c>
      <c r="I85" s="143" t="s">
        <v>100</v>
      </c>
      <c r="J85" s="144" t="s">
        <v>99</v>
      </c>
      <c r="K85" s="144" t="s">
        <v>26</v>
      </c>
      <c r="L85" s="144" t="s">
        <v>19</v>
      </c>
      <c r="M85" s="144" t="s">
        <v>183</v>
      </c>
      <c r="N85" s="75">
        <v>0.1</v>
      </c>
      <c r="O85" s="80">
        <f>'GESTIÓN JURIDICA'!$O$12</f>
        <v>1</v>
      </c>
      <c r="P85" s="339"/>
      <c r="Q85" s="340"/>
      <c r="R85" s="341"/>
      <c r="S85" s="78">
        <v>1</v>
      </c>
      <c r="T85" s="78">
        <v>1</v>
      </c>
      <c r="U85" s="191" t="str">
        <f>'GESTIÓN JURIDICA'!$U$12</f>
        <v>FAVORABLES</v>
      </c>
      <c r="V85" s="46"/>
      <c r="W85" s="22"/>
    </row>
    <row r="86" spans="2:23" ht="177.75" customHeight="1" thickBot="1" x14ac:dyDescent="0.3">
      <c r="B86" s="111">
        <v>77</v>
      </c>
      <c r="C86" s="329"/>
      <c r="D86" s="329"/>
      <c r="E86" s="329"/>
      <c r="F86" s="329"/>
      <c r="G86" s="329"/>
      <c r="H86" s="144" t="s">
        <v>277</v>
      </c>
      <c r="I86" s="143" t="s">
        <v>100</v>
      </c>
      <c r="J86" s="144" t="s">
        <v>99</v>
      </c>
      <c r="K86" s="144" t="s">
        <v>26</v>
      </c>
      <c r="L86" s="144" t="s">
        <v>19</v>
      </c>
      <c r="M86" s="144" t="s">
        <v>182</v>
      </c>
      <c r="N86" s="75">
        <v>0.2</v>
      </c>
      <c r="O86" s="80">
        <f>'GESTIÓN JURIDICA'!$O$13</f>
        <v>1</v>
      </c>
      <c r="P86" s="339"/>
      <c r="Q86" s="340"/>
      <c r="R86" s="341"/>
      <c r="S86" s="78" t="s">
        <v>274</v>
      </c>
      <c r="T86" s="78">
        <v>1</v>
      </c>
      <c r="U86" s="191" t="str">
        <f>'GESTIÓN JURIDICA'!$U$13</f>
        <v>FAVORABLES</v>
      </c>
      <c r="V86" s="46"/>
      <c r="W86" s="22"/>
    </row>
    <row r="87" spans="2:23" ht="177.75" customHeight="1" thickBot="1" x14ac:dyDescent="0.3">
      <c r="B87" s="111">
        <v>78</v>
      </c>
      <c r="C87" s="329"/>
      <c r="D87" s="329"/>
      <c r="E87" s="329"/>
      <c r="F87" s="329"/>
      <c r="G87" s="329"/>
      <c r="H87" s="144" t="s">
        <v>98</v>
      </c>
      <c r="I87" s="143" t="s">
        <v>100</v>
      </c>
      <c r="J87" s="144" t="s">
        <v>99</v>
      </c>
      <c r="K87" s="144" t="s">
        <v>26</v>
      </c>
      <c r="L87" s="144" t="s">
        <v>19</v>
      </c>
      <c r="M87" s="144" t="s">
        <v>101</v>
      </c>
      <c r="N87" s="75">
        <v>0.15</v>
      </c>
      <c r="O87" s="80">
        <f>'GESTIÓN JURIDICA'!$O$14</f>
        <v>1</v>
      </c>
      <c r="P87" s="339"/>
      <c r="Q87" s="340"/>
      <c r="R87" s="341"/>
      <c r="S87" s="78" t="s">
        <v>274</v>
      </c>
      <c r="T87" s="78">
        <v>1</v>
      </c>
      <c r="U87" s="191" t="str">
        <f>'GESTIÓN JURIDICA'!$U$14</f>
        <v>FAVORABLES</v>
      </c>
      <c r="V87" s="46"/>
      <c r="W87" s="22"/>
    </row>
    <row r="88" spans="2:23" ht="177.75" customHeight="1" thickBot="1" x14ac:dyDescent="0.3">
      <c r="B88" s="111">
        <v>79</v>
      </c>
      <c r="C88" s="329"/>
      <c r="D88" s="329"/>
      <c r="E88" s="329"/>
      <c r="F88" s="329"/>
      <c r="G88" s="329"/>
      <c r="H88" s="144" t="s">
        <v>124</v>
      </c>
      <c r="I88" s="143" t="s">
        <v>100</v>
      </c>
      <c r="J88" s="144" t="s">
        <v>99</v>
      </c>
      <c r="K88" s="144" t="s">
        <v>26</v>
      </c>
      <c r="L88" s="144" t="s">
        <v>19</v>
      </c>
      <c r="M88" s="144" t="s">
        <v>102</v>
      </c>
      <c r="N88" s="75">
        <v>0.15</v>
      </c>
      <c r="O88" s="80">
        <f>'GESTIÓN JURIDICA'!$O$15</f>
        <v>0</v>
      </c>
      <c r="P88" s="342"/>
      <c r="Q88" s="343"/>
      <c r="R88" s="344"/>
      <c r="S88" s="78" t="s">
        <v>274</v>
      </c>
      <c r="T88" s="78">
        <v>1</v>
      </c>
      <c r="U88" s="191" t="str">
        <f>'GESTIÓN JURIDICA'!$U$15</f>
        <v>ACCIÓN CORRECTIVA</v>
      </c>
      <c r="V88" s="46"/>
      <c r="W88" s="22"/>
    </row>
    <row r="89" spans="2:23" ht="409.6" customHeight="1" thickBot="1" x14ac:dyDescent="0.3">
      <c r="B89" s="111">
        <v>80</v>
      </c>
      <c r="C89" s="329" t="s">
        <v>31</v>
      </c>
      <c r="D89" s="329" t="s">
        <v>40</v>
      </c>
      <c r="E89" s="329"/>
      <c r="F89" s="329"/>
      <c r="G89" s="329"/>
      <c r="H89" s="143" t="s">
        <v>162</v>
      </c>
      <c r="I89" s="143" t="s">
        <v>289</v>
      </c>
      <c r="J89" s="144" t="s">
        <v>174</v>
      </c>
      <c r="K89" s="144" t="s">
        <v>26</v>
      </c>
      <c r="L89" s="144" t="s">
        <v>19</v>
      </c>
      <c r="M89" s="151" t="s">
        <v>246</v>
      </c>
      <c r="N89" s="75">
        <v>0.3</v>
      </c>
      <c r="O89" s="80">
        <f>'TALENTO HUMANO'!$O$46</f>
        <v>0</v>
      </c>
      <c r="P89" s="336">
        <f>(N89*O89)+(N90*O90)+(N91*O91)+(N92*O92)+(N93*O93)</f>
        <v>0.36358024691358026</v>
      </c>
      <c r="Q89" s="337"/>
      <c r="R89" s="338"/>
      <c r="S89" s="78">
        <v>0</v>
      </c>
      <c r="T89" s="78" t="s">
        <v>216</v>
      </c>
      <c r="U89" s="191" t="str">
        <f>'TALENTO HUMANO'!$U$46</f>
        <v>ACCIÓN CORRECTIVA</v>
      </c>
      <c r="V89" s="46"/>
      <c r="W89" s="22"/>
    </row>
    <row r="90" spans="2:23" ht="144" customHeight="1" thickBot="1" x14ac:dyDescent="0.3">
      <c r="B90" s="111">
        <v>81</v>
      </c>
      <c r="C90" s="329"/>
      <c r="D90" s="329"/>
      <c r="E90" s="329"/>
      <c r="F90" s="329"/>
      <c r="G90" s="329"/>
      <c r="H90" s="143" t="s">
        <v>172</v>
      </c>
      <c r="I90" s="143" t="s">
        <v>265</v>
      </c>
      <c r="J90" s="144" t="s">
        <v>173</v>
      </c>
      <c r="K90" s="144" t="s">
        <v>26</v>
      </c>
      <c r="L90" s="144" t="s">
        <v>19</v>
      </c>
      <c r="M90" s="144" t="s">
        <v>241</v>
      </c>
      <c r="N90" s="75">
        <v>0.25</v>
      </c>
      <c r="O90" s="80">
        <f>'TALENTO HUMANO'!$O$47</f>
        <v>0</v>
      </c>
      <c r="P90" s="339"/>
      <c r="Q90" s="340"/>
      <c r="R90" s="341"/>
      <c r="S90" s="78">
        <v>0</v>
      </c>
      <c r="T90" s="78">
        <v>1</v>
      </c>
      <c r="U90" s="191" t="str">
        <f>'TALENTO HUMANO'!$U$47</f>
        <v>ACCIÓN CORRECTIVA</v>
      </c>
      <c r="V90" s="46"/>
      <c r="W90" s="22"/>
    </row>
    <row r="91" spans="2:23" ht="409.6" customHeight="1" thickBot="1" x14ac:dyDescent="0.3">
      <c r="B91" s="111">
        <v>82</v>
      </c>
      <c r="C91" s="329"/>
      <c r="D91" s="329"/>
      <c r="E91" s="329"/>
      <c r="F91" s="329"/>
      <c r="G91" s="329"/>
      <c r="H91" s="144" t="s">
        <v>266</v>
      </c>
      <c r="I91" s="143" t="s">
        <v>267</v>
      </c>
      <c r="J91" s="144" t="s">
        <v>174</v>
      </c>
      <c r="K91" s="144" t="s">
        <v>26</v>
      </c>
      <c r="L91" s="144" t="s">
        <v>105</v>
      </c>
      <c r="M91" s="144" t="s">
        <v>196</v>
      </c>
      <c r="N91" s="75">
        <v>0.1</v>
      </c>
      <c r="O91" s="80">
        <f>'TALENTO HUMANO'!$O$48</f>
        <v>1</v>
      </c>
      <c r="P91" s="339"/>
      <c r="Q91" s="340"/>
      <c r="R91" s="341"/>
      <c r="S91" s="78">
        <v>0</v>
      </c>
      <c r="T91" s="78" t="s">
        <v>230</v>
      </c>
      <c r="U91" s="191" t="str">
        <f>'TALENTO HUMANO'!$U$48</f>
        <v>FAVORABLES</v>
      </c>
      <c r="V91" s="46"/>
      <c r="W91" s="22"/>
    </row>
    <row r="92" spans="2:23" ht="409.5" customHeight="1" thickBot="1" x14ac:dyDescent="0.3">
      <c r="B92" s="111">
        <v>83</v>
      </c>
      <c r="C92" s="329"/>
      <c r="D92" s="329"/>
      <c r="E92" s="329"/>
      <c r="F92" s="329"/>
      <c r="G92" s="329"/>
      <c r="H92" s="144" t="s">
        <v>268</v>
      </c>
      <c r="I92" s="143" t="s">
        <v>290</v>
      </c>
      <c r="J92" s="144" t="s">
        <v>174</v>
      </c>
      <c r="K92" s="144" t="s">
        <v>26</v>
      </c>
      <c r="L92" s="144" t="s">
        <v>105</v>
      </c>
      <c r="M92" s="144" t="s">
        <v>177</v>
      </c>
      <c r="N92" s="75">
        <v>0.1</v>
      </c>
      <c r="O92" s="80">
        <f>'TALENTO HUMANO'!$O$49</f>
        <v>1</v>
      </c>
      <c r="P92" s="339"/>
      <c r="Q92" s="340"/>
      <c r="R92" s="341"/>
      <c r="S92" s="78">
        <v>0</v>
      </c>
      <c r="T92" s="78" t="s">
        <v>104</v>
      </c>
      <c r="U92" s="191" t="str">
        <f>'TALENTO HUMANO'!$U$49</f>
        <v>FAVORABLES</v>
      </c>
      <c r="V92" s="46"/>
      <c r="W92" s="22"/>
    </row>
    <row r="93" spans="2:23" ht="409.5" customHeight="1" thickBot="1" x14ac:dyDescent="0.3">
      <c r="B93" s="111">
        <v>84</v>
      </c>
      <c r="C93" s="329"/>
      <c r="D93" s="329"/>
      <c r="E93" s="329"/>
      <c r="F93" s="329"/>
      <c r="G93" s="329"/>
      <c r="H93" s="144" t="s">
        <v>270</v>
      </c>
      <c r="I93" s="143" t="s">
        <v>290</v>
      </c>
      <c r="J93" s="144" t="s">
        <v>174</v>
      </c>
      <c r="K93" s="144" t="s">
        <v>26</v>
      </c>
      <c r="L93" s="144" t="s">
        <v>105</v>
      </c>
      <c r="M93" s="144" t="s">
        <v>106</v>
      </c>
      <c r="N93" s="75">
        <v>0.25</v>
      </c>
      <c r="O93" s="80">
        <f>'TALENTO HUMANO'!$O$50</f>
        <v>0.65432098765432101</v>
      </c>
      <c r="P93" s="342"/>
      <c r="Q93" s="343"/>
      <c r="R93" s="344"/>
      <c r="S93" s="78">
        <v>0.8</v>
      </c>
      <c r="T93" s="78" t="s">
        <v>104</v>
      </c>
      <c r="U93" s="191" t="str">
        <f>'TALENTO HUMANO'!$U$50</f>
        <v>FAVORABLES</v>
      </c>
      <c r="V93" s="46"/>
      <c r="W93" s="22"/>
    </row>
    <row r="94" spans="2:23" ht="349.5" customHeight="1" thickBot="1" x14ac:dyDescent="0.3">
      <c r="B94" s="111">
        <v>85</v>
      </c>
      <c r="C94" s="329" t="s">
        <v>31</v>
      </c>
      <c r="D94" s="329" t="s">
        <v>41</v>
      </c>
      <c r="E94" s="329"/>
      <c r="F94" s="329"/>
      <c r="G94" s="329"/>
      <c r="H94" s="143" t="s">
        <v>162</v>
      </c>
      <c r="I94" s="143" t="s">
        <v>90</v>
      </c>
      <c r="J94" s="144" t="s">
        <v>149</v>
      </c>
      <c r="K94" s="144" t="s">
        <v>26</v>
      </c>
      <c r="L94" s="144" t="s">
        <v>19</v>
      </c>
      <c r="M94" s="151" t="s">
        <v>181</v>
      </c>
      <c r="N94" s="75">
        <v>0.15</v>
      </c>
      <c r="O94" s="80">
        <f>'GESTIÓN TIC'!$O$10</f>
        <v>0</v>
      </c>
      <c r="P94" s="336">
        <f>(N94*O94)+(N95*O95)+(N96*O96)+(N97*O97)+(N98*O98)+(N99*O99)+(N100*O100)+(N101*O101)+(N102*O102)</f>
        <v>0.72</v>
      </c>
      <c r="Q94" s="337"/>
      <c r="R94" s="338"/>
      <c r="S94" s="78">
        <v>0</v>
      </c>
      <c r="T94" s="78" t="s">
        <v>187</v>
      </c>
      <c r="U94" s="191">
        <f>'GESTIÓN TIC'!$U$10</f>
        <v>0</v>
      </c>
      <c r="V94" s="46"/>
      <c r="W94" s="22"/>
    </row>
    <row r="95" spans="2:23" ht="349.5" customHeight="1" thickBot="1" x14ac:dyDescent="0.3">
      <c r="B95" s="111">
        <v>86</v>
      </c>
      <c r="C95" s="329"/>
      <c r="D95" s="329"/>
      <c r="E95" s="329"/>
      <c r="F95" s="329"/>
      <c r="G95" s="329"/>
      <c r="H95" s="143" t="s">
        <v>179</v>
      </c>
      <c r="I95" s="143" t="s">
        <v>178</v>
      </c>
      <c r="J95" s="144" t="s">
        <v>176</v>
      </c>
      <c r="K95" s="144" t="s">
        <v>26</v>
      </c>
      <c r="L95" s="144" t="s">
        <v>19</v>
      </c>
      <c r="M95" s="144" t="s">
        <v>189</v>
      </c>
      <c r="N95" s="75">
        <v>0.1</v>
      </c>
      <c r="O95" s="80">
        <f>'GESTIÓN TIC'!$O$11</f>
        <v>1</v>
      </c>
      <c r="P95" s="339"/>
      <c r="Q95" s="340"/>
      <c r="R95" s="341"/>
      <c r="S95" s="78">
        <v>0</v>
      </c>
      <c r="T95" s="78">
        <v>1</v>
      </c>
      <c r="U95" s="191" t="str">
        <f>'GESTIÓN TIC'!$U$11</f>
        <v>FAVORABLES</v>
      </c>
      <c r="V95" s="46"/>
      <c r="W95" s="22"/>
    </row>
    <row r="96" spans="2:23" ht="349.5" customHeight="1" thickBot="1" x14ac:dyDescent="0.3">
      <c r="B96" s="111">
        <v>87</v>
      </c>
      <c r="C96" s="329"/>
      <c r="D96" s="329"/>
      <c r="E96" s="329"/>
      <c r="F96" s="329"/>
      <c r="G96" s="329"/>
      <c r="H96" s="143" t="s">
        <v>180</v>
      </c>
      <c r="I96" s="143" t="s">
        <v>178</v>
      </c>
      <c r="J96" s="144" t="s">
        <v>176</v>
      </c>
      <c r="K96" s="144" t="s">
        <v>26</v>
      </c>
      <c r="L96" s="144" t="s">
        <v>19</v>
      </c>
      <c r="M96" s="144" t="s">
        <v>190</v>
      </c>
      <c r="N96" s="75">
        <v>0.1</v>
      </c>
      <c r="O96" s="80">
        <f>'GESTIÓN TIC'!$O$12</f>
        <v>2.5</v>
      </c>
      <c r="P96" s="339"/>
      <c r="Q96" s="340"/>
      <c r="R96" s="341"/>
      <c r="S96" s="78">
        <v>0</v>
      </c>
      <c r="T96" s="78" t="s">
        <v>187</v>
      </c>
      <c r="U96" s="191" t="str">
        <f>'GESTIÓN TIC'!$U$12</f>
        <v>FAVORABLES</v>
      </c>
      <c r="V96" s="46"/>
      <c r="W96" s="22"/>
    </row>
    <row r="97" spans="2:25" ht="349.5" customHeight="1" thickBot="1" x14ac:dyDescent="0.3">
      <c r="B97" s="111">
        <v>88</v>
      </c>
      <c r="C97" s="329"/>
      <c r="D97" s="329"/>
      <c r="E97" s="329"/>
      <c r="F97" s="329"/>
      <c r="G97" s="329"/>
      <c r="H97" s="143" t="s">
        <v>278</v>
      </c>
      <c r="I97" s="143" t="s">
        <v>178</v>
      </c>
      <c r="J97" s="144" t="s">
        <v>176</v>
      </c>
      <c r="K97" s="144" t="s">
        <v>26</v>
      </c>
      <c r="L97" s="144" t="s">
        <v>19</v>
      </c>
      <c r="M97" s="144" t="s">
        <v>191</v>
      </c>
      <c r="N97" s="75">
        <v>0.05</v>
      </c>
      <c r="O97" s="80">
        <f>'GESTIÓN TIC'!$O$13</f>
        <v>1</v>
      </c>
      <c r="P97" s="339"/>
      <c r="Q97" s="340"/>
      <c r="R97" s="341"/>
      <c r="S97" s="78">
        <v>0</v>
      </c>
      <c r="T97" s="78" t="s">
        <v>192</v>
      </c>
      <c r="U97" s="191" t="str">
        <f>'GESTIÓN TIC'!$U$13</f>
        <v>FAVORABLES</v>
      </c>
      <c r="V97" s="46"/>
      <c r="W97" s="22"/>
    </row>
    <row r="98" spans="2:25" ht="192" customHeight="1" thickBot="1" x14ac:dyDescent="0.3">
      <c r="B98" s="111">
        <v>89</v>
      </c>
      <c r="C98" s="329"/>
      <c r="D98" s="329"/>
      <c r="E98" s="329"/>
      <c r="F98" s="329"/>
      <c r="G98" s="329"/>
      <c r="H98" s="144" t="s">
        <v>157</v>
      </c>
      <c r="I98" s="143" t="s">
        <v>90</v>
      </c>
      <c r="J98" s="144" t="s">
        <v>149</v>
      </c>
      <c r="K98" s="144" t="s">
        <v>26</v>
      </c>
      <c r="L98" s="144" t="s">
        <v>19</v>
      </c>
      <c r="M98" s="144" t="s">
        <v>47</v>
      </c>
      <c r="N98" s="75">
        <v>0.15</v>
      </c>
      <c r="O98" s="110">
        <f>'INNOVACIÓN Y DESARROLLO '!$O$10</f>
        <v>1</v>
      </c>
      <c r="P98" s="339"/>
      <c r="Q98" s="340"/>
      <c r="R98" s="341"/>
      <c r="S98" s="78">
        <v>0</v>
      </c>
      <c r="T98" s="78">
        <v>1</v>
      </c>
      <c r="U98" s="187" t="str">
        <f>'INNOVACIÓN Y DESARROLLO '!$U$10</f>
        <v>FAVORABLES</v>
      </c>
      <c r="V98" s="46"/>
      <c r="W98" s="22"/>
    </row>
    <row r="99" spans="2:25" ht="183" customHeight="1" thickBot="1" x14ac:dyDescent="0.3">
      <c r="B99" s="111">
        <v>90</v>
      </c>
      <c r="C99" s="329"/>
      <c r="D99" s="329"/>
      <c r="E99" s="329"/>
      <c r="F99" s="329"/>
      <c r="G99" s="329"/>
      <c r="H99" s="144" t="s">
        <v>158</v>
      </c>
      <c r="I99" s="143" t="s">
        <v>90</v>
      </c>
      <c r="J99" s="144" t="s">
        <v>149</v>
      </c>
      <c r="K99" s="144" t="s">
        <v>26</v>
      </c>
      <c r="L99" s="144" t="s">
        <v>19</v>
      </c>
      <c r="M99" s="144" t="s">
        <v>279</v>
      </c>
      <c r="N99" s="75">
        <v>0.15</v>
      </c>
      <c r="O99" s="110">
        <f>'INNOVACIÓN Y DESARROLLO '!$O$11</f>
        <v>1</v>
      </c>
      <c r="P99" s="339"/>
      <c r="Q99" s="340"/>
      <c r="R99" s="341"/>
      <c r="S99" s="78">
        <v>0</v>
      </c>
      <c r="T99" s="78">
        <v>1</v>
      </c>
      <c r="U99" s="187" t="str">
        <f>'INNOVACIÓN Y DESARROLLO '!$U$11</f>
        <v>FAVORABLES</v>
      </c>
      <c r="V99" s="46"/>
      <c r="W99" s="22"/>
    </row>
    <row r="100" spans="2:25" ht="182.25" customHeight="1" thickBot="1" x14ac:dyDescent="0.3">
      <c r="B100" s="111">
        <v>91</v>
      </c>
      <c r="C100" s="329"/>
      <c r="D100" s="329"/>
      <c r="E100" s="329"/>
      <c r="F100" s="329"/>
      <c r="G100" s="329"/>
      <c r="H100" s="144" t="s">
        <v>159</v>
      </c>
      <c r="I100" s="143" t="s">
        <v>90</v>
      </c>
      <c r="J100" s="144" t="s">
        <v>149</v>
      </c>
      <c r="K100" s="144" t="s">
        <v>26</v>
      </c>
      <c r="L100" s="144" t="s">
        <v>19</v>
      </c>
      <c r="M100" s="144" t="s">
        <v>280</v>
      </c>
      <c r="N100" s="75">
        <v>0.1</v>
      </c>
      <c r="O100" s="110">
        <f>'INNOVACIÓN Y DESARROLLO '!$O$12</f>
        <v>0.2</v>
      </c>
      <c r="P100" s="339"/>
      <c r="Q100" s="340"/>
      <c r="R100" s="341"/>
      <c r="S100" s="78">
        <v>0</v>
      </c>
      <c r="T100" s="78">
        <v>1</v>
      </c>
      <c r="U100" s="187" t="str">
        <f>'INNOVACIÓN Y DESARROLLO '!$U$12</f>
        <v>ACCIÓN CORRECTIVA</v>
      </c>
      <c r="V100" s="46"/>
      <c r="W100" s="22"/>
    </row>
    <row r="101" spans="2:25" ht="192" customHeight="1" thickBot="1" x14ac:dyDescent="0.3">
      <c r="B101" s="111">
        <v>92</v>
      </c>
      <c r="C101" s="329"/>
      <c r="D101" s="329"/>
      <c r="E101" s="329"/>
      <c r="F101" s="329"/>
      <c r="G101" s="329"/>
      <c r="H101" s="144" t="s">
        <v>125</v>
      </c>
      <c r="I101" s="143" t="s">
        <v>90</v>
      </c>
      <c r="J101" s="144" t="s">
        <v>49</v>
      </c>
      <c r="K101" s="144" t="s">
        <v>26</v>
      </c>
      <c r="L101" s="144" t="s">
        <v>19</v>
      </c>
      <c r="M101" s="144" t="s">
        <v>281</v>
      </c>
      <c r="N101" s="75">
        <v>0.1</v>
      </c>
      <c r="O101" s="110">
        <f>'INNOVACIÓN Y DESARROLLO '!$O$13</f>
        <v>0</v>
      </c>
      <c r="P101" s="339"/>
      <c r="Q101" s="340"/>
      <c r="R101" s="341"/>
      <c r="S101" s="78">
        <v>0</v>
      </c>
      <c r="T101" s="78">
        <v>1</v>
      </c>
      <c r="U101" s="187" t="str">
        <f>'INNOVACIÓN Y DESARROLLO '!$U$13</f>
        <v>RIESGO</v>
      </c>
      <c r="V101" s="46"/>
      <c r="W101" s="22"/>
    </row>
    <row r="102" spans="2:25" ht="408.75" customHeight="1" thickBot="1" x14ac:dyDescent="0.3">
      <c r="B102" s="111">
        <v>93</v>
      </c>
      <c r="C102" s="329"/>
      <c r="D102" s="329"/>
      <c r="E102" s="329"/>
      <c r="F102" s="329"/>
      <c r="G102" s="329"/>
      <c r="H102" s="144" t="s">
        <v>126</v>
      </c>
      <c r="I102" s="143" t="s">
        <v>90</v>
      </c>
      <c r="J102" s="144" t="s">
        <v>49</v>
      </c>
      <c r="K102" s="144" t="s">
        <v>26</v>
      </c>
      <c r="L102" s="144" t="s">
        <v>19</v>
      </c>
      <c r="M102" s="144" t="s">
        <v>48</v>
      </c>
      <c r="N102" s="75">
        <v>0.1</v>
      </c>
      <c r="O102" s="110">
        <f>'INNOVACIÓN Y DESARROLLO '!$O$14</f>
        <v>0</v>
      </c>
      <c r="P102" s="342"/>
      <c r="Q102" s="343"/>
      <c r="R102" s="344"/>
      <c r="S102" s="78">
        <v>0</v>
      </c>
      <c r="T102" s="78">
        <v>1</v>
      </c>
      <c r="U102" s="187" t="str">
        <f>'INNOVACIÓN Y DESARROLLO '!$U$14</f>
        <v>RIESGO</v>
      </c>
      <c r="V102" s="46"/>
      <c r="W102" s="22"/>
    </row>
    <row r="103" spans="2:25" ht="144.75" customHeight="1" thickBot="1" x14ac:dyDescent="0.3">
      <c r="B103" s="111">
        <v>94</v>
      </c>
      <c r="C103" s="329" t="s">
        <v>224</v>
      </c>
      <c r="D103" s="329" t="s">
        <v>42</v>
      </c>
      <c r="E103" s="329"/>
      <c r="F103" s="329"/>
      <c r="G103" s="329"/>
      <c r="H103" s="144" t="s">
        <v>282</v>
      </c>
      <c r="I103" s="144" t="s">
        <v>283</v>
      </c>
      <c r="J103" s="144" t="s">
        <v>34</v>
      </c>
      <c r="K103" s="144" t="s">
        <v>2</v>
      </c>
      <c r="L103" s="144" t="s">
        <v>80</v>
      </c>
      <c r="M103" s="144" t="s">
        <v>148</v>
      </c>
      <c r="N103" s="75">
        <v>0.2</v>
      </c>
      <c r="O103" s="110">
        <f>'GESTIÓN AMBIENTAL'!$O$10</f>
        <v>0.8666666666666667</v>
      </c>
      <c r="P103" s="336">
        <f>(N103*O103)+(N104*O104)+(N105*O105)</f>
        <v>0.21095605736046652</v>
      </c>
      <c r="Q103" s="337"/>
      <c r="R103" s="338"/>
      <c r="S103" s="78">
        <v>0</v>
      </c>
      <c r="T103" s="78">
        <v>1</v>
      </c>
      <c r="U103" s="187" t="str">
        <f>'GESTIÓN AMBIENTAL'!$U$10</f>
        <v>FAVORABLES</v>
      </c>
      <c r="V103" s="46"/>
      <c r="W103" s="22"/>
    </row>
    <row r="104" spans="2:25" ht="144.75" customHeight="1" thickBot="1" x14ac:dyDescent="0.3">
      <c r="B104" s="111">
        <v>95</v>
      </c>
      <c r="C104" s="329"/>
      <c r="D104" s="329"/>
      <c r="E104" s="329"/>
      <c r="F104" s="329"/>
      <c r="G104" s="329"/>
      <c r="H104" s="144" t="s">
        <v>284</v>
      </c>
      <c r="I104" s="144" t="s">
        <v>175</v>
      </c>
      <c r="J104" s="144" t="s">
        <v>34</v>
      </c>
      <c r="K104" s="144" t="s">
        <v>2</v>
      </c>
      <c r="L104" s="144" t="s">
        <v>80</v>
      </c>
      <c r="M104" s="144" t="s">
        <v>285</v>
      </c>
      <c r="N104" s="75">
        <v>0.2</v>
      </c>
      <c r="O104" s="110">
        <f>'GESTIÓN AMBIENTAL'!$O$11</f>
        <v>0.18811362013566582</v>
      </c>
      <c r="P104" s="339"/>
      <c r="Q104" s="340"/>
      <c r="R104" s="341"/>
      <c r="S104" s="78">
        <v>0.24</v>
      </c>
      <c r="T104" s="78">
        <v>0.35</v>
      </c>
      <c r="U104" s="187" t="str">
        <f>'GESTIÓN AMBIENTAL'!$U$11</f>
        <v>ACCIÓN CORRECTIVA</v>
      </c>
      <c r="V104" s="46"/>
      <c r="W104" s="22"/>
    </row>
    <row r="105" spans="2:25" ht="141.75" customHeight="1" thickBot="1" x14ac:dyDescent="0.3">
      <c r="B105" s="111">
        <v>96</v>
      </c>
      <c r="C105" s="329"/>
      <c r="D105" s="329"/>
      <c r="E105" s="329"/>
      <c r="F105" s="329"/>
      <c r="G105" s="329"/>
      <c r="H105" s="144" t="s">
        <v>79</v>
      </c>
      <c r="I105" s="144" t="s">
        <v>145</v>
      </c>
      <c r="J105" s="144" t="s">
        <v>34</v>
      </c>
      <c r="K105" s="144" t="s">
        <v>2</v>
      </c>
      <c r="L105" s="144" t="s">
        <v>80</v>
      </c>
      <c r="M105" s="144" t="s">
        <v>147</v>
      </c>
      <c r="N105" s="75">
        <v>0.3</v>
      </c>
      <c r="O105" s="110">
        <f>'GESTIÓN AMBIENTAL'!$O$12</f>
        <v>0</v>
      </c>
      <c r="P105" s="342"/>
      <c r="Q105" s="343"/>
      <c r="R105" s="344"/>
      <c r="S105" s="78">
        <v>0</v>
      </c>
      <c r="T105" s="78">
        <v>0.7</v>
      </c>
      <c r="U105" s="187" t="str">
        <f>'GESTIÓN AMBIENTAL'!$U$12</f>
        <v>RIESGO</v>
      </c>
      <c r="V105" s="46"/>
      <c r="W105" s="22"/>
    </row>
    <row r="106" spans="2:25" ht="219.75" customHeight="1" thickBot="1" x14ac:dyDescent="0.3">
      <c r="B106" s="111">
        <v>97</v>
      </c>
      <c r="C106" s="329" t="s">
        <v>224</v>
      </c>
      <c r="D106" s="369" t="s">
        <v>43</v>
      </c>
      <c r="E106" s="369"/>
      <c r="F106" s="369"/>
      <c r="G106" s="369"/>
      <c r="H106" s="149" t="s">
        <v>144</v>
      </c>
      <c r="I106" s="149" t="s">
        <v>286</v>
      </c>
      <c r="J106" s="149" t="s">
        <v>34</v>
      </c>
      <c r="K106" s="149" t="s">
        <v>2</v>
      </c>
      <c r="L106" s="149" t="s">
        <v>80</v>
      </c>
      <c r="M106" s="149" t="s">
        <v>160</v>
      </c>
      <c r="N106" s="150">
        <v>0.4</v>
      </c>
      <c r="O106" s="150">
        <f>'GESTIÓN AMBIENTAL'!$O$13</f>
        <v>-0.33787191124558752</v>
      </c>
      <c r="P106" s="331">
        <f>(N106*O106)+(N107*O107)</f>
        <v>4.9611012038077856E-2</v>
      </c>
      <c r="Q106" s="331"/>
      <c r="R106" s="331"/>
      <c r="S106" s="78">
        <v>0</v>
      </c>
      <c r="T106" s="78">
        <v>-0.15</v>
      </c>
      <c r="U106" s="192" t="str">
        <f>'GESTIÓN AMBIENTAL'!$U$13</f>
        <v>FAVORABLES</v>
      </c>
      <c r="V106" s="46"/>
      <c r="W106" s="22"/>
      <c r="Y106" s="193"/>
    </row>
    <row r="107" spans="2:25" ht="228.75" customHeight="1" thickBot="1" x14ac:dyDescent="0.3">
      <c r="B107" s="111">
        <v>98</v>
      </c>
      <c r="C107" s="329"/>
      <c r="D107" s="369"/>
      <c r="E107" s="369"/>
      <c r="F107" s="369"/>
      <c r="G107" s="369"/>
      <c r="H107" s="149" t="s">
        <v>143</v>
      </c>
      <c r="I107" s="149" t="s">
        <v>286</v>
      </c>
      <c r="J107" s="149" t="s">
        <v>34</v>
      </c>
      <c r="K107" s="149" t="s">
        <v>2</v>
      </c>
      <c r="L107" s="149" t="s">
        <v>80</v>
      </c>
      <c r="M107" s="149" t="s">
        <v>219</v>
      </c>
      <c r="N107" s="150">
        <v>0.3</v>
      </c>
      <c r="O107" s="150">
        <f>'GESTIÓN AMBIENTAL'!$O$14</f>
        <v>0.6158659217877096</v>
      </c>
      <c r="P107" s="331"/>
      <c r="Q107" s="331"/>
      <c r="R107" s="331"/>
      <c r="S107" s="78">
        <v>0</v>
      </c>
      <c r="T107" s="78">
        <v>-0.05</v>
      </c>
      <c r="U107" s="192" t="str">
        <f>'GESTIÓN AMBIENTAL'!$U$14</f>
        <v>FAVORABLES</v>
      </c>
      <c r="V107" s="46"/>
      <c r="W107" s="22"/>
    </row>
    <row r="108" spans="2:25" ht="346.5" customHeight="1" thickBot="1" x14ac:dyDescent="0.3">
      <c r="B108" s="111">
        <v>99</v>
      </c>
      <c r="C108" s="136" t="s">
        <v>224</v>
      </c>
      <c r="D108" s="329" t="s">
        <v>44</v>
      </c>
      <c r="E108" s="329"/>
      <c r="F108" s="329"/>
      <c r="G108" s="329"/>
      <c r="H108" s="144" t="s">
        <v>81</v>
      </c>
      <c r="I108" s="144" t="s">
        <v>146</v>
      </c>
      <c r="J108" s="144" t="s">
        <v>34</v>
      </c>
      <c r="K108" s="144" t="s">
        <v>2</v>
      </c>
      <c r="L108" s="144" t="s">
        <v>80</v>
      </c>
      <c r="M108" s="144" t="s">
        <v>161</v>
      </c>
      <c r="N108" s="75">
        <v>0.7</v>
      </c>
      <c r="O108" s="110">
        <f>'GESTIÓN AMBIENTAL'!$O$15</f>
        <v>6.1146788990825686E-2</v>
      </c>
      <c r="P108" s="224">
        <f>(N108*O108)</f>
        <v>4.2802752293577981E-2</v>
      </c>
      <c r="Q108" s="224"/>
      <c r="R108" s="224"/>
      <c r="S108" s="78">
        <v>0</v>
      </c>
      <c r="T108" s="78">
        <v>0.1</v>
      </c>
      <c r="U108" s="187" t="str">
        <f>'GESTIÓN AMBIENTAL'!$U$15</f>
        <v>ACCIÓN CORRECTIVA</v>
      </c>
      <c r="V108" s="46"/>
      <c r="W108" s="22"/>
    </row>
    <row r="109" spans="2:25" ht="41.25" customHeight="1" thickBot="1" x14ac:dyDescent="0.3">
      <c r="B109" s="109"/>
      <c r="C109" s="67"/>
      <c r="D109" s="287"/>
      <c r="E109" s="287"/>
      <c r="F109" s="287"/>
      <c r="G109" s="287"/>
      <c r="H109" s="31"/>
      <c r="I109" s="31"/>
      <c r="J109" s="31"/>
      <c r="K109" s="31"/>
      <c r="L109" s="48"/>
      <c r="M109" s="31"/>
      <c r="N109" s="31"/>
      <c r="O109" s="48"/>
      <c r="P109" s="48"/>
      <c r="Q109" s="48"/>
      <c r="R109" s="49"/>
      <c r="S109" s="48"/>
      <c r="T109" s="48"/>
      <c r="U109" s="48"/>
      <c r="V109" s="50"/>
      <c r="W109" s="22"/>
    </row>
    <row r="114" spans="14:14" x14ac:dyDescent="0.25">
      <c r="N114" s="34"/>
    </row>
  </sheetData>
  <mergeCells count="87">
    <mergeCell ref="D10:G15"/>
    <mergeCell ref="C10:C15"/>
    <mergeCell ref="C94:C102"/>
    <mergeCell ref="D67:G71"/>
    <mergeCell ref="C67:C71"/>
    <mergeCell ref="D31:G66"/>
    <mergeCell ref="C31:C66"/>
    <mergeCell ref="D94:G102"/>
    <mergeCell ref="C72:C82"/>
    <mergeCell ref="D72:G82"/>
    <mergeCell ref="D89:G93"/>
    <mergeCell ref="C89:C93"/>
    <mergeCell ref="D83:G88"/>
    <mergeCell ref="C83:C88"/>
    <mergeCell ref="N31:N38"/>
    <mergeCell ref="H72:H74"/>
    <mergeCell ref="I72:I74"/>
    <mergeCell ref="H75:H77"/>
    <mergeCell ref="I75:I77"/>
    <mergeCell ref="H31:H38"/>
    <mergeCell ref="L31:L38"/>
    <mergeCell ref="K31:K38"/>
    <mergeCell ref="J31:J38"/>
    <mergeCell ref="I31:I38"/>
    <mergeCell ref="H63:H64"/>
    <mergeCell ref="I63:I64"/>
    <mergeCell ref="L63:L64"/>
    <mergeCell ref="H40:H59"/>
    <mergeCell ref="I40:I59"/>
    <mergeCell ref="J40:J59"/>
    <mergeCell ref="C103:C105"/>
    <mergeCell ref="C106:C107"/>
    <mergeCell ref="D106:G107"/>
    <mergeCell ref="P83:R88"/>
    <mergeCell ref="P89:R93"/>
    <mergeCell ref="P94:R102"/>
    <mergeCell ref="P103:R105"/>
    <mergeCell ref="K40:K59"/>
    <mergeCell ref="L40:L59"/>
    <mergeCell ref="C16:C17"/>
    <mergeCell ref="D16:G17"/>
    <mergeCell ref="C18:C22"/>
    <mergeCell ref="D18:G22"/>
    <mergeCell ref="C23:C30"/>
    <mergeCell ref="D23:G30"/>
    <mergeCell ref="V8:V9"/>
    <mergeCell ref="U8:U9"/>
    <mergeCell ref="S8:S9"/>
    <mergeCell ref="T8:T9"/>
    <mergeCell ref="B2:G5"/>
    <mergeCell ref="P2:V2"/>
    <mergeCell ref="P3:V3"/>
    <mergeCell ref="T4:V5"/>
    <mergeCell ref="P4:S5"/>
    <mergeCell ref="H2:O3"/>
    <mergeCell ref="C8:C9"/>
    <mergeCell ref="D8:G9"/>
    <mergeCell ref="M8:M9"/>
    <mergeCell ref="H8:L8"/>
    <mergeCell ref="N8:N9"/>
    <mergeCell ref="O8:O9"/>
    <mergeCell ref="H4:O5"/>
    <mergeCell ref="P108:R108"/>
    <mergeCell ref="P106:R107"/>
    <mergeCell ref="Q16:R17"/>
    <mergeCell ref="P18:R22"/>
    <mergeCell ref="P8:R9"/>
    <mergeCell ref="P23:R30"/>
    <mergeCell ref="H10:H14"/>
    <mergeCell ref="I10:I14"/>
    <mergeCell ref="J10:J14"/>
    <mergeCell ref="K10:K14"/>
    <mergeCell ref="L10:L14"/>
    <mergeCell ref="P10:R15"/>
    <mergeCell ref="P67:R71"/>
    <mergeCell ref="P72:R82"/>
    <mergeCell ref="P31:R66"/>
    <mergeCell ref="D108:G108"/>
    <mergeCell ref="D103:G105"/>
    <mergeCell ref="D109:G109"/>
    <mergeCell ref="J63:J64"/>
    <mergeCell ref="K63:K64"/>
    <mergeCell ref="H81:H82"/>
    <mergeCell ref="H78:H80"/>
    <mergeCell ref="K78:K82"/>
    <mergeCell ref="J78:J82"/>
    <mergeCell ref="I78:I82"/>
  </mergeCells>
  <pageMargins left="0.70866141732283472" right="0.70866141732283472" top="0.74803149606299213" bottom="0.74803149606299213" header="0.31496062992125984" footer="0.31496062992125984"/>
  <pageSetup scale="25" fitToHeight="0"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1:AG105"/>
  <sheetViews>
    <sheetView showGridLines="0" tabSelected="1" topLeftCell="B1" zoomScale="64" zoomScaleNormal="64" workbookViewId="0">
      <selection activeCell="C2" sqref="C2:Z8"/>
    </sheetView>
  </sheetViews>
  <sheetFormatPr baseColWidth="10" defaultRowHeight="15" x14ac:dyDescent="0.25"/>
  <cols>
    <col min="2" max="2" width="7.42578125" customWidth="1"/>
  </cols>
  <sheetData>
    <row r="1" spans="2:33" x14ac:dyDescent="0.2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row>
    <row r="2" spans="2:33" x14ac:dyDescent="0.25">
      <c r="B2" s="1"/>
      <c r="C2" s="371"/>
      <c r="D2" s="371"/>
      <c r="E2" s="371"/>
      <c r="F2" s="371"/>
      <c r="G2" s="371"/>
      <c r="H2" s="371"/>
      <c r="I2" s="371"/>
      <c r="J2" s="371"/>
      <c r="K2" s="371"/>
      <c r="L2" s="371"/>
      <c r="M2" s="371"/>
      <c r="N2" s="371"/>
      <c r="O2" s="371"/>
      <c r="P2" s="371"/>
      <c r="Q2" s="371"/>
      <c r="R2" s="371"/>
      <c r="S2" s="371"/>
      <c r="T2" s="371"/>
      <c r="U2" s="371"/>
      <c r="V2" s="371"/>
      <c r="W2" s="371"/>
      <c r="X2" s="371"/>
      <c r="Y2" s="371"/>
      <c r="Z2" s="371"/>
      <c r="AA2" s="1"/>
      <c r="AB2" s="1"/>
      <c r="AC2" s="1"/>
      <c r="AD2" s="1"/>
      <c r="AE2" s="1"/>
      <c r="AF2" s="1"/>
      <c r="AG2" s="1"/>
    </row>
    <row r="3" spans="2:33" x14ac:dyDescent="0.25">
      <c r="B3" s="1"/>
      <c r="C3" s="371"/>
      <c r="D3" s="371"/>
      <c r="E3" s="371"/>
      <c r="F3" s="371"/>
      <c r="G3" s="371"/>
      <c r="H3" s="371"/>
      <c r="I3" s="371"/>
      <c r="J3" s="371"/>
      <c r="K3" s="371"/>
      <c r="L3" s="371"/>
      <c r="M3" s="371"/>
      <c r="N3" s="371"/>
      <c r="O3" s="371"/>
      <c r="P3" s="371"/>
      <c r="Q3" s="371"/>
      <c r="R3" s="371"/>
      <c r="S3" s="371"/>
      <c r="T3" s="371"/>
      <c r="U3" s="371"/>
      <c r="V3" s="371"/>
      <c r="W3" s="371"/>
      <c r="X3" s="371"/>
      <c r="Y3" s="371"/>
      <c r="Z3" s="371"/>
      <c r="AA3" s="1"/>
      <c r="AB3" s="1"/>
      <c r="AC3" s="1"/>
      <c r="AD3" s="1"/>
      <c r="AE3" s="1"/>
      <c r="AF3" s="1"/>
      <c r="AG3" s="1"/>
    </row>
    <row r="4" spans="2:33" x14ac:dyDescent="0.25">
      <c r="B4" s="1"/>
      <c r="C4" s="371"/>
      <c r="D4" s="371"/>
      <c r="E4" s="371"/>
      <c r="F4" s="371"/>
      <c r="G4" s="371"/>
      <c r="H4" s="371"/>
      <c r="I4" s="371"/>
      <c r="J4" s="371"/>
      <c r="K4" s="371"/>
      <c r="L4" s="371"/>
      <c r="M4" s="371"/>
      <c r="N4" s="371"/>
      <c r="O4" s="371"/>
      <c r="P4" s="371"/>
      <c r="Q4" s="371"/>
      <c r="R4" s="371"/>
      <c r="S4" s="371"/>
      <c r="T4" s="371"/>
      <c r="U4" s="371"/>
      <c r="V4" s="371"/>
      <c r="W4" s="371"/>
      <c r="X4" s="371"/>
      <c r="Y4" s="371"/>
      <c r="Z4" s="371"/>
      <c r="AA4" s="1"/>
      <c r="AB4" s="1"/>
      <c r="AC4" s="1"/>
      <c r="AD4" s="1"/>
      <c r="AE4" s="1"/>
      <c r="AF4" s="1"/>
      <c r="AG4" s="1"/>
    </row>
    <row r="5" spans="2:33" x14ac:dyDescent="0.25">
      <c r="B5" s="1"/>
      <c r="C5" s="371"/>
      <c r="D5" s="371"/>
      <c r="E5" s="371"/>
      <c r="F5" s="371"/>
      <c r="G5" s="371"/>
      <c r="H5" s="371"/>
      <c r="I5" s="371"/>
      <c r="J5" s="371"/>
      <c r="K5" s="371"/>
      <c r="L5" s="371"/>
      <c r="M5" s="371"/>
      <c r="N5" s="371"/>
      <c r="O5" s="371"/>
      <c r="P5" s="371"/>
      <c r="Q5" s="371"/>
      <c r="R5" s="371"/>
      <c r="S5" s="371"/>
      <c r="T5" s="371"/>
      <c r="U5" s="371"/>
      <c r="V5" s="371"/>
      <c r="W5" s="371"/>
      <c r="X5" s="371"/>
      <c r="Y5" s="371"/>
      <c r="Z5" s="371"/>
      <c r="AA5" s="1"/>
      <c r="AB5" s="1"/>
      <c r="AC5" s="1"/>
      <c r="AD5" s="1"/>
      <c r="AE5" s="1"/>
      <c r="AF5" s="1"/>
      <c r="AG5" s="1"/>
    </row>
    <row r="6" spans="2:33" x14ac:dyDescent="0.25">
      <c r="B6" s="1"/>
      <c r="C6" s="371"/>
      <c r="D6" s="371"/>
      <c r="E6" s="371"/>
      <c r="F6" s="371"/>
      <c r="G6" s="371"/>
      <c r="H6" s="371"/>
      <c r="I6" s="371"/>
      <c r="J6" s="371"/>
      <c r="K6" s="371"/>
      <c r="L6" s="371"/>
      <c r="M6" s="371"/>
      <c r="N6" s="371"/>
      <c r="O6" s="371"/>
      <c r="P6" s="371"/>
      <c r="Q6" s="371"/>
      <c r="R6" s="371"/>
      <c r="S6" s="371"/>
      <c r="T6" s="371"/>
      <c r="U6" s="371"/>
      <c r="V6" s="371"/>
      <c r="W6" s="371"/>
      <c r="X6" s="371"/>
      <c r="Y6" s="371"/>
      <c r="Z6" s="371"/>
      <c r="AA6" s="1"/>
      <c r="AB6" s="1"/>
      <c r="AC6" s="1"/>
      <c r="AD6" s="1"/>
      <c r="AE6" s="1"/>
      <c r="AF6" s="1"/>
      <c r="AG6" s="1"/>
    </row>
    <row r="7" spans="2:33" x14ac:dyDescent="0.25">
      <c r="B7" s="1"/>
      <c r="C7" s="371"/>
      <c r="D7" s="371"/>
      <c r="E7" s="371"/>
      <c r="F7" s="371"/>
      <c r="G7" s="371"/>
      <c r="H7" s="371"/>
      <c r="I7" s="371"/>
      <c r="J7" s="371"/>
      <c r="K7" s="371"/>
      <c r="L7" s="371"/>
      <c r="M7" s="371"/>
      <c r="N7" s="371"/>
      <c r="O7" s="371"/>
      <c r="P7" s="371"/>
      <c r="Q7" s="371"/>
      <c r="R7" s="371"/>
      <c r="S7" s="371"/>
      <c r="T7" s="371"/>
      <c r="U7" s="371"/>
      <c r="V7" s="371"/>
      <c r="W7" s="371"/>
      <c r="X7" s="371"/>
      <c r="Y7" s="371"/>
      <c r="Z7" s="371"/>
      <c r="AA7" s="1"/>
      <c r="AB7" s="1"/>
      <c r="AC7" s="1"/>
      <c r="AD7" s="1"/>
      <c r="AE7" s="1"/>
      <c r="AF7" s="1"/>
      <c r="AG7" s="1"/>
    </row>
    <row r="8" spans="2:33" x14ac:dyDescent="0.25">
      <c r="B8" s="1"/>
      <c r="C8" s="371"/>
      <c r="D8" s="371"/>
      <c r="E8" s="371"/>
      <c r="F8" s="371"/>
      <c r="G8" s="371"/>
      <c r="H8" s="371"/>
      <c r="I8" s="371"/>
      <c r="J8" s="371"/>
      <c r="K8" s="371"/>
      <c r="L8" s="371"/>
      <c r="M8" s="371"/>
      <c r="N8" s="371"/>
      <c r="O8" s="371"/>
      <c r="P8" s="371"/>
      <c r="Q8" s="371"/>
      <c r="R8" s="371"/>
      <c r="S8" s="371"/>
      <c r="T8" s="371"/>
      <c r="U8" s="371"/>
      <c r="V8" s="371"/>
      <c r="W8" s="371"/>
      <c r="X8" s="371"/>
      <c r="Y8" s="371"/>
      <c r="Z8" s="371"/>
      <c r="AA8" s="1"/>
      <c r="AB8" s="1"/>
      <c r="AC8" s="1"/>
      <c r="AD8" s="1"/>
      <c r="AE8" s="1"/>
      <c r="AF8" s="1"/>
      <c r="AG8" s="1"/>
    </row>
    <row r="9" spans="2:33" x14ac:dyDescent="0.25">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row>
    <row r="10" spans="2:33"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row>
    <row r="11" spans="2:33" x14ac:dyDescent="0.25">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row>
    <row r="12" spans="2:33" x14ac:dyDescent="0.25">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row>
    <row r="13" spans="2:33" x14ac:dyDescent="0.25">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row>
    <row r="14" spans="2:33" x14ac:dyDescent="0.25">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row>
    <row r="15" spans="2:33" x14ac:dyDescent="0.25">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row>
    <row r="16" spans="2:33" x14ac:dyDescent="0.25">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row>
    <row r="17" spans="2:33" x14ac:dyDescent="0.25">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row>
    <row r="18" spans="2:33" x14ac:dyDescent="0.25">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row>
    <row r="19" spans="2:33" x14ac:dyDescent="0.25">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2:33" x14ac:dyDescent="0.25">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row>
    <row r="21" spans="2:33" x14ac:dyDescent="0.25">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row>
    <row r="22" spans="2:33" x14ac:dyDescent="0.25">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row>
    <row r="23" spans="2:33" x14ac:dyDescent="0.25">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row>
    <row r="24" spans="2:33"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row>
    <row r="25" spans="2:33" x14ac:dyDescent="0.25">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row>
    <row r="26" spans="2:33" x14ac:dyDescent="0.25">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row>
    <row r="27" spans="2:33" x14ac:dyDescent="0.25">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row>
    <row r="28" spans="2:33" x14ac:dyDescent="0.25">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row>
    <row r="29" spans="2:33" x14ac:dyDescent="0.25">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2"/>
      <c r="AF29" s="1"/>
      <c r="AG29" s="1"/>
    </row>
    <row r="30" spans="2:33" x14ac:dyDescent="0.25">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row>
    <row r="31" spans="2:33" x14ac:dyDescent="0.25">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row>
    <row r="32" spans="2:33" x14ac:dyDescent="0.25">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row>
    <row r="33" spans="2:33" x14ac:dyDescent="0.25">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row>
    <row r="34" spans="2:33" x14ac:dyDescent="0.25">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row>
    <row r="35" spans="2:33" x14ac:dyDescent="0.25">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row>
    <row r="36" spans="2:33" x14ac:dyDescent="0.25">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row>
    <row r="37" spans="2:33" x14ac:dyDescent="0.25">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row>
    <row r="38" spans="2:33" x14ac:dyDescent="0.25">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2:33" x14ac:dyDescent="0.25">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2:33" x14ac:dyDescent="0.25">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2:33" x14ac:dyDescent="0.25">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2:33" x14ac:dyDescent="0.25">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2:33" x14ac:dyDescent="0.25">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2:33" x14ac:dyDescent="0.25">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2:33" x14ac:dyDescent="0.25">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2:33" x14ac:dyDescent="0.25">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2:33" x14ac:dyDescent="0.25">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2:33" x14ac:dyDescent="0.25">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2:33" x14ac:dyDescent="0.25">
      <c r="B49" s="1"/>
      <c r="C49" s="1"/>
      <c r="D49" s="1"/>
      <c r="E49" s="1"/>
      <c r="F49" s="1"/>
      <c r="G49" s="1"/>
      <c r="H49" s="1"/>
      <c r="I49" s="1"/>
      <c r="J49" s="1"/>
      <c r="K49" s="1"/>
      <c r="L49" s="1"/>
      <c r="M49" s="1"/>
      <c r="N49" s="1"/>
      <c r="O49" s="1"/>
      <c r="P49" s="1"/>
      <c r="Q49" s="1"/>
      <c r="R49" s="1"/>
      <c r="S49" s="1"/>
      <c r="T49" s="1"/>
      <c r="U49" s="1"/>
      <c r="V49" s="4"/>
      <c r="W49" s="1"/>
      <c r="X49" s="1"/>
      <c r="Y49" s="1"/>
      <c r="Z49" s="1"/>
      <c r="AA49" s="1"/>
      <c r="AB49" s="1"/>
      <c r="AC49" s="1"/>
      <c r="AD49" s="1"/>
      <c r="AE49" s="1"/>
      <c r="AF49" s="1"/>
      <c r="AG49" s="1"/>
    </row>
    <row r="50" spans="2:33" x14ac:dyDescent="0.2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2:33" x14ac:dyDescent="0.2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2:33" x14ac:dyDescent="0.2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2:33" x14ac:dyDescent="0.25">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2:33" x14ac:dyDescent="0.25">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2:33" x14ac:dyDescent="0.25">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2:33" x14ac:dyDescent="0.25">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2:33" x14ac:dyDescent="0.25">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2:33" x14ac:dyDescent="0.25">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2:33" x14ac:dyDescent="0.2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2:33" x14ac:dyDescent="0.2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2:33" x14ac:dyDescent="0.25">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2:33" x14ac:dyDescent="0.25">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2:33" x14ac:dyDescent="0.25">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2:33" x14ac:dyDescent="0.25">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2:33" x14ac:dyDescent="0.25">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2:33" x14ac:dyDescent="0.2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2:33" x14ac:dyDescent="0.2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2:33" x14ac:dyDescent="0.2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2:33" x14ac:dyDescent="0.2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2:33" x14ac:dyDescent="0.25">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2:33" x14ac:dyDescent="0.25">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2:33" x14ac:dyDescent="0.2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2:33" x14ac:dyDescent="0.2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2:33" x14ac:dyDescent="0.25">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2:33" x14ac:dyDescent="0.25">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2:33" x14ac:dyDescent="0.25">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2:33" x14ac:dyDescent="0.2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2:33" x14ac:dyDescent="0.25">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2:33" x14ac:dyDescent="0.25">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2:33" x14ac:dyDescent="0.2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2:33" x14ac:dyDescent="0.2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2:33" x14ac:dyDescent="0.2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2:33" x14ac:dyDescent="0.2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2:33" x14ac:dyDescent="0.2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2:33" x14ac:dyDescent="0.2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2:33" x14ac:dyDescent="0.2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2:33" x14ac:dyDescent="0.2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2:33" x14ac:dyDescent="0.2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2:33" x14ac:dyDescent="0.2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2:33" x14ac:dyDescent="0.2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2:33" x14ac:dyDescent="0.2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2:33" x14ac:dyDescent="0.2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2:33" x14ac:dyDescent="0.2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2:33" x14ac:dyDescent="0.2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2:33" x14ac:dyDescent="0.2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2:33" x14ac:dyDescent="0.2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2:33" x14ac:dyDescent="0.2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2:33" x14ac:dyDescent="0.2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2:33" x14ac:dyDescent="0.2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2:33" x14ac:dyDescent="0.2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2:33" x14ac:dyDescent="0.2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2:33" x14ac:dyDescent="0.2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2:33" x14ac:dyDescent="0.2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2:33" x14ac:dyDescent="0.2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2:33" x14ac:dyDescent="0.2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sheetData>
  <mergeCells count="1">
    <mergeCell ref="C2:Z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P1"/>
  <sheetViews>
    <sheetView workbookViewId="0">
      <selection activeCell="E3" sqref="E3"/>
    </sheetView>
  </sheetViews>
  <sheetFormatPr baseColWidth="10" defaultRowHeight="15" x14ac:dyDescent="0.25"/>
  <sheetData>
    <row r="1" spans="1:16" ht="409.5" x14ac:dyDescent="0.25">
      <c r="A1" s="166"/>
      <c r="B1" s="167" t="s">
        <v>119</v>
      </c>
      <c r="C1" s="168" t="s">
        <v>89</v>
      </c>
      <c r="D1" s="166" t="s">
        <v>52</v>
      </c>
      <c r="E1" s="166" t="s">
        <v>2</v>
      </c>
      <c r="F1" s="166" t="s">
        <v>19</v>
      </c>
      <c r="G1" s="166" t="s">
        <v>292</v>
      </c>
      <c r="H1" s="169">
        <v>0.1</v>
      </c>
      <c r="I1" s="169">
        <f>11/11</f>
        <v>1</v>
      </c>
      <c r="J1" s="170"/>
      <c r="K1" s="170"/>
      <c r="L1" s="171"/>
      <c r="M1" s="169">
        <v>0</v>
      </c>
      <c r="N1" s="172" t="s">
        <v>10</v>
      </c>
      <c r="O1" s="173"/>
      <c r="P1" s="174"/>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ErrorMessage="1">
          <x14:formula1>
            <xm:f>'[1]LISTA DESPLEGABLE'!#REF!</xm:f>
          </x14:formula1>
          <xm:sqref>O1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9"/>
  <sheetViews>
    <sheetView workbookViewId="0">
      <selection activeCell="G4" sqref="G4"/>
    </sheetView>
  </sheetViews>
  <sheetFormatPr baseColWidth="10" defaultRowHeight="15" x14ac:dyDescent="0.25"/>
  <cols>
    <col min="2" max="2" width="25.5703125" customWidth="1"/>
    <col min="3" max="3" width="21.28515625" customWidth="1"/>
    <col min="7" max="8" width="32.42578125" customWidth="1"/>
    <col min="11" max="12" width="22" customWidth="1"/>
    <col min="15" max="15" width="27" customWidth="1"/>
    <col min="16" max="16" width="27.140625" customWidth="1"/>
    <col min="19" max="19" width="27.140625" customWidth="1"/>
    <col min="20" max="20" width="27" customWidth="1"/>
  </cols>
  <sheetData>
    <row r="1" spans="2:24" ht="15.75" thickBot="1" x14ac:dyDescent="0.3"/>
    <row r="2" spans="2:24" ht="21.75" customHeight="1" thickTop="1" x14ac:dyDescent="0.25">
      <c r="B2" s="373" t="s">
        <v>139</v>
      </c>
      <c r="C2" s="378" t="s">
        <v>129</v>
      </c>
      <c r="D2" s="380" t="s">
        <v>130</v>
      </c>
      <c r="E2" s="380"/>
      <c r="F2" s="380" t="s">
        <v>142</v>
      </c>
      <c r="G2" s="380" t="s">
        <v>134</v>
      </c>
      <c r="H2" s="380" t="s">
        <v>135</v>
      </c>
      <c r="I2" s="380" t="s">
        <v>131</v>
      </c>
      <c r="J2" s="380"/>
      <c r="K2" s="380" t="s">
        <v>134</v>
      </c>
      <c r="L2" s="380" t="s">
        <v>135</v>
      </c>
      <c r="M2" s="380" t="s">
        <v>132</v>
      </c>
      <c r="N2" s="380"/>
      <c r="O2" s="380" t="s">
        <v>134</v>
      </c>
      <c r="P2" s="380" t="s">
        <v>135</v>
      </c>
      <c r="Q2" s="380" t="s">
        <v>133</v>
      </c>
      <c r="R2" s="380"/>
      <c r="S2" s="380" t="s">
        <v>134</v>
      </c>
      <c r="T2" s="388" t="s">
        <v>135</v>
      </c>
      <c r="U2" s="5"/>
      <c r="V2" s="5"/>
      <c r="W2" s="5"/>
      <c r="X2" s="5"/>
    </row>
    <row r="3" spans="2:24" ht="21.75" customHeight="1" x14ac:dyDescent="0.25">
      <c r="B3" s="374"/>
      <c r="C3" s="379"/>
      <c r="D3" s="381"/>
      <c r="E3" s="381"/>
      <c r="F3" s="381"/>
      <c r="G3" s="381"/>
      <c r="H3" s="381"/>
      <c r="I3" s="381"/>
      <c r="J3" s="381"/>
      <c r="K3" s="381"/>
      <c r="L3" s="381"/>
      <c r="M3" s="381"/>
      <c r="N3" s="381"/>
      <c r="O3" s="381"/>
      <c r="P3" s="381"/>
      <c r="Q3" s="381"/>
      <c r="R3" s="381"/>
      <c r="S3" s="381"/>
      <c r="T3" s="389"/>
      <c r="U3" s="5"/>
      <c r="V3" s="5"/>
      <c r="W3" s="5"/>
      <c r="X3" s="5"/>
    </row>
    <row r="4" spans="2:24" ht="57" x14ac:dyDescent="0.25">
      <c r="B4" s="10" t="s">
        <v>35</v>
      </c>
      <c r="C4" s="6">
        <v>0.25</v>
      </c>
      <c r="D4" s="382">
        <v>0.57999999999999996</v>
      </c>
      <c r="E4" s="383"/>
      <c r="F4" s="18">
        <v>1</v>
      </c>
      <c r="G4" s="17"/>
      <c r="H4" s="7">
        <f t="shared" ref="H4:H16" si="0">+G4-C4</f>
        <v>-0.25</v>
      </c>
      <c r="I4" s="377"/>
      <c r="J4" s="377"/>
      <c r="K4" s="8"/>
      <c r="L4" s="8"/>
      <c r="M4" s="377"/>
      <c r="N4" s="377"/>
      <c r="O4" s="8"/>
      <c r="P4" s="8"/>
      <c r="Q4" s="377"/>
      <c r="R4" s="377"/>
      <c r="S4" s="9"/>
      <c r="T4" s="11"/>
      <c r="U4" s="5"/>
      <c r="V4" s="5"/>
      <c r="W4" s="5"/>
      <c r="X4" s="5"/>
    </row>
    <row r="5" spans="2:24" ht="57" x14ac:dyDescent="0.25">
      <c r="B5" s="10" t="s">
        <v>82</v>
      </c>
      <c r="C5" s="6">
        <v>0.25</v>
      </c>
      <c r="D5" s="377">
        <v>1</v>
      </c>
      <c r="E5" s="377"/>
      <c r="F5" s="18">
        <v>1</v>
      </c>
      <c r="G5" s="17"/>
      <c r="H5" s="7">
        <f t="shared" si="0"/>
        <v>-0.25</v>
      </c>
      <c r="I5" s="384"/>
      <c r="J5" s="384"/>
      <c r="K5" s="9"/>
      <c r="L5" s="9"/>
      <c r="M5" s="384"/>
      <c r="N5" s="384"/>
      <c r="O5" s="9"/>
      <c r="P5" s="9"/>
      <c r="Q5" s="384"/>
      <c r="R5" s="384"/>
      <c r="S5" s="9"/>
      <c r="T5" s="11"/>
      <c r="U5" s="5"/>
      <c r="V5" s="5"/>
      <c r="W5" s="5"/>
      <c r="X5" s="5"/>
    </row>
    <row r="6" spans="2:24" ht="57" x14ac:dyDescent="0.25">
      <c r="B6" s="10" t="s">
        <v>36</v>
      </c>
      <c r="C6" s="6">
        <v>0.245</v>
      </c>
      <c r="D6" s="377">
        <v>0.15</v>
      </c>
      <c r="E6" s="377"/>
      <c r="F6" s="18">
        <v>0.98</v>
      </c>
      <c r="G6" s="17"/>
      <c r="H6" s="7">
        <f t="shared" si="0"/>
        <v>-0.245</v>
      </c>
      <c r="I6" s="375"/>
      <c r="J6" s="376"/>
      <c r="K6" s="9"/>
      <c r="L6" s="9"/>
      <c r="M6" s="384"/>
      <c r="N6" s="384"/>
      <c r="O6" s="9"/>
      <c r="P6" s="9"/>
      <c r="Q6" s="384"/>
      <c r="R6" s="384"/>
      <c r="S6" s="9"/>
      <c r="T6" s="11"/>
      <c r="U6" s="5"/>
      <c r="V6" s="5"/>
      <c r="W6" s="5"/>
      <c r="X6" s="5"/>
    </row>
    <row r="7" spans="2:24" ht="114" x14ac:dyDescent="0.25">
      <c r="B7" s="10" t="s">
        <v>136</v>
      </c>
      <c r="C7" s="6">
        <v>0.2225</v>
      </c>
      <c r="D7" s="377">
        <v>0.71</v>
      </c>
      <c r="E7" s="377"/>
      <c r="F7" s="18">
        <v>0.89</v>
      </c>
      <c r="G7" s="17"/>
      <c r="H7" s="7">
        <f t="shared" si="0"/>
        <v>-0.2225</v>
      </c>
      <c r="I7" s="375"/>
      <c r="J7" s="376"/>
      <c r="K7" s="9"/>
      <c r="L7" s="9"/>
      <c r="M7" s="384"/>
      <c r="N7" s="384"/>
      <c r="O7" s="9"/>
      <c r="P7" s="9"/>
      <c r="Q7" s="384"/>
      <c r="R7" s="384"/>
      <c r="S7" s="9"/>
      <c r="T7" s="11"/>
      <c r="U7" s="5"/>
      <c r="V7" s="5"/>
      <c r="W7" s="5"/>
      <c r="X7" s="5"/>
    </row>
    <row r="8" spans="2:24" ht="99.75" x14ac:dyDescent="0.25">
      <c r="B8" s="10" t="s">
        <v>137</v>
      </c>
      <c r="C8" s="6">
        <v>0.22500000000000001</v>
      </c>
      <c r="D8" s="377">
        <v>0.63</v>
      </c>
      <c r="E8" s="377"/>
      <c r="F8" s="18">
        <v>0.9</v>
      </c>
      <c r="G8" s="17"/>
      <c r="H8" s="7">
        <f t="shared" si="0"/>
        <v>-0.22500000000000001</v>
      </c>
      <c r="I8" s="375"/>
      <c r="J8" s="376"/>
      <c r="K8" s="9"/>
      <c r="L8" s="9"/>
      <c r="M8" s="384"/>
      <c r="N8" s="384"/>
      <c r="O8" s="9"/>
      <c r="P8" s="9"/>
      <c r="Q8" s="384"/>
      <c r="R8" s="384"/>
      <c r="S8" s="9"/>
      <c r="T8" s="11"/>
      <c r="U8" s="5"/>
      <c r="V8" s="5"/>
      <c r="W8" s="5"/>
      <c r="X8" s="5"/>
    </row>
    <row r="9" spans="2:24" ht="85.5" x14ac:dyDescent="0.25">
      <c r="B9" s="10" t="s">
        <v>38</v>
      </c>
      <c r="C9" s="6">
        <v>0.25</v>
      </c>
      <c r="D9" s="377">
        <v>0.8</v>
      </c>
      <c r="E9" s="377"/>
      <c r="F9" s="18">
        <v>1</v>
      </c>
      <c r="G9" s="17"/>
      <c r="H9" s="17">
        <f t="shared" si="0"/>
        <v>-0.25</v>
      </c>
      <c r="I9" s="375"/>
      <c r="J9" s="376"/>
      <c r="K9" s="9"/>
      <c r="L9" s="9"/>
      <c r="M9" s="384"/>
      <c r="N9" s="384"/>
      <c r="O9" s="9"/>
      <c r="P9" s="9"/>
      <c r="Q9" s="384"/>
      <c r="R9" s="384"/>
      <c r="S9" s="9"/>
      <c r="T9" s="11"/>
      <c r="U9" s="5"/>
      <c r="V9" s="5"/>
      <c r="W9" s="5"/>
      <c r="X9" s="5"/>
    </row>
    <row r="10" spans="2:24" ht="42.75" x14ac:dyDescent="0.25">
      <c r="B10" s="10" t="s">
        <v>39</v>
      </c>
      <c r="C10" s="6">
        <v>0.24</v>
      </c>
      <c r="D10" s="377">
        <v>0.60650000000000004</v>
      </c>
      <c r="E10" s="377"/>
      <c r="F10" s="18">
        <v>0.96</v>
      </c>
      <c r="G10" s="17"/>
      <c r="H10" s="7">
        <f t="shared" si="0"/>
        <v>-0.24</v>
      </c>
      <c r="I10" s="375"/>
      <c r="J10" s="376"/>
      <c r="K10" s="9"/>
      <c r="L10" s="9"/>
      <c r="M10" s="384"/>
      <c r="N10" s="384"/>
      <c r="O10" s="9"/>
      <c r="P10" s="9"/>
      <c r="Q10" s="384"/>
      <c r="R10" s="384"/>
      <c r="S10" s="9"/>
      <c r="T10" s="11"/>
      <c r="U10" s="5"/>
      <c r="V10" s="5"/>
      <c r="W10" s="5"/>
      <c r="X10" s="5"/>
    </row>
    <row r="11" spans="2:24" ht="42.75" x14ac:dyDescent="0.25">
      <c r="B11" s="10" t="s">
        <v>97</v>
      </c>
      <c r="C11" s="6">
        <v>0.25</v>
      </c>
      <c r="D11" s="377">
        <v>1</v>
      </c>
      <c r="E11" s="377"/>
      <c r="F11" s="18">
        <v>1</v>
      </c>
      <c r="G11" s="17"/>
      <c r="H11" s="7">
        <f t="shared" si="0"/>
        <v>-0.25</v>
      </c>
      <c r="I11" s="375"/>
      <c r="J11" s="376"/>
      <c r="K11" s="9"/>
      <c r="L11" s="9"/>
      <c r="M11" s="384"/>
      <c r="N11" s="384"/>
      <c r="O11" s="9"/>
      <c r="P11" s="9"/>
      <c r="Q11" s="384"/>
      <c r="R11" s="384"/>
      <c r="S11" s="9"/>
      <c r="T11" s="11"/>
      <c r="U11" s="5"/>
      <c r="V11" s="5"/>
      <c r="W11" s="5"/>
      <c r="X11" s="5"/>
    </row>
    <row r="12" spans="2:24" ht="128.25" x14ac:dyDescent="0.25">
      <c r="B12" s="10" t="s">
        <v>40</v>
      </c>
      <c r="C12" s="6">
        <v>0.2</v>
      </c>
      <c r="D12" s="377">
        <v>0.52</v>
      </c>
      <c r="E12" s="377"/>
      <c r="F12" s="18">
        <v>0.8</v>
      </c>
      <c r="G12" s="17"/>
      <c r="H12" s="7">
        <f t="shared" si="0"/>
        <v>-0.2</v>
      </c>
      <c r="I12" s="375"/>
      <c r="J12" s="376"/>
      <c r="K12" s="9"/>
      <c r="L12" s="9"/>
      <c r="M12" s="384"/>
      <c r="N12" s="384"/>
      <c r="O12" s="9"/>
      <c r="P12" s="9"/>
      <c r="Q12" s="384"/>
      <c r="R12" s="384"/>
      <c r="S12" s="9"/>
      <c r="T12" s="11"/>
      <c r="U12" s="5"/>
      <c r="V12" s="5"/>
      <c r="W12" s="5"/>
      <c r="X12" s="5"/>
    </row>
    <row r="13" spans="2:24" ht="85.5" x14ac:dyDescent="0.25">
      <c r="B13" s="10" t="s">
        <v>41</v>
      </c>
      <c r="C13" s="6">
        <v>0.25</v>
      </c>
      <c r="D13" s="377">
        <v>0.05</v>
      </c>
      <c r="E13" s="377"/>
      <c r="F13" s="18">
        <v>1</v>
      </c>
      <c r="G13" s="17"/>
      <c r="H13" s="7">
        <f t="shared" si="0"/>
        <v>-0.25</v>
      </c>
      <c r="I13" s="375"/>
      <c r="J13" s="376"/>
      <c r="K13" s="9"/>
      <c r="L13" s="9"/>
      <c r="M13" s="384"/>
      <c r="N13" s="384"/>
      <c r="O13" s="9"/>
      <c r="P13" s="9"/>
      <c r="Q13" s="384"/>
      <c r="R13" s="384"/>
      <c r="S13" s="9"/>
      <c r="T13" s="11"/>
      <c r="U13" s="5"/>
      <c r="V13" s="5"/>
      <c r="W13" s="5"/>
      <c r="X13" s="5"/>
    </row>
    <row r="14" spans="2:24" ht="85.5" x14ac:dyDescent="0.25">
      <c r="B14" s="10" t="s">
        <v>42</v>
      </c>
      <c r="C14" s="6">
        <v>0.2266</v>
      </c>
      <c r="D14" s="377">
        <v>0.2</v>
      </c>
      <c r="E14" s="377"/>
      <c r="F14" s="18">
        <v>0.92</v>
      </c>
      <c r="G14" s="17"/>
      <c r="H14" s="7">
        <f t="shared" si="0"/>
        <v>-0.2266</v>
      </c>
      <c r="I14" s="375"/>
      <c r="J14" s="376"/>
      <c r="K14" s="9"/>
      <c r="L14" s="9"/>
      <c r="M14" s="384"/>
      <c r="N14" s="384"/>
      <c r="O14" s="9"/>
      <c r="P14" s="9"/>
      <c r="Q14" s="384"/>
      <c r="R14" s="384"/>
      <c r="S14" s="9"/>
      <c r="T14" s="11"/>
      <c r="U14" s="5"/>
      <c r="V14" s="5"/>
      <c r="W14" s="5"/>
      <c r="X14" s="5"/>
    </row>
    <row r="15" spans="2:24" ht="71.25" x14ac:dyDescent="0.25">
      <c r="B15" s="10" t="s">
        <v>43</v>
      </c>
      <c r="C15" s="6">
        <v>0.25</v>
      </c>
      <c r="D15" s="377">
        <v>0</v>
      </c>
      <c r="E15" s="377"/>
      <c r="F15" s="18">
        <v>1</v>
      </c>
      <c r="G15" s="17"/>
      <c r="H15" s="7">
        <f t="shared" si="0"/>
        <v>-0.25</v>
      </c>
      <c r="I15" s="375"/>
      <c r="J15" s="376"/>
      <c r="K15" s="9"/>
      <c r="L15" s="9"/>
      <c r="M15" s="384"/>
      <c r="N15" s="384"/>
      <c r="O15" s="9"/>
      <c r="P15" s="9"/>
      <c r="Q15" s="384"/>
      <c r="R15" s="384"/>
      <c r="S15" s="9"/>
      <c r="T15" s="11"/>
      <c r="U15" s="5"/>
      <c r="V15" s="5"/>
      <c r="W15" s="5"/>
      <c r="X15" s="5"/>
    </row>
    <row r="16" spans="2:24" ht="72" thickBot="1" x14ac:dyDescent="0.3">
      <c r="B16" s="12" t="s">
        <v>44</v>
      </c>
      <c r="C16" s="13">
        <v>0.25</v>
      </c>
      <c r="D16" s="385">
        <v>0</v>
      </c>
      <c r="E16" s="385"/>
      <c r="F16" s="19">
        <v>1</v>
      </c>
      <c r="G16" s="35"/>
      <c r="H16" s="14">
        <f t="shared" si="0"/>
        <v>-0.25</v>
      </c>
      <c r="I16" s="386"/>
      <c r="J16" s="387"/>
      <c r="K16" s="15"/>
      <c r="L16" s="15"/>
      <c r="M16" s="372"/>
      <c r="N16" s="372"/>
      <c r="O16" s="15"/>
      <c r="P16" s="15"/>
      <c r="Q16" s="372"/>
      <c r="R16" s="372"/>
      <c r="S16" s="15"/>
      <c r="T16" s="16"/>
      <c r="U16" s="5"/>
      <c r="V16" s="5"/>
      <c r="W16" s="5"/>
      <c r="X16" s="5"/>
    </row>
    <row r="17" spans="2:24" ht="15.75" thickTop="1" x14ac:dyDescent="0.25">
      <c r="B17" s="5"/>
      <c r="C17" s="5"/>
      <c r="D17" s="5"/>
      <c r="E17" s="5"/>
      <c r="F17" s="5"/>
      <c r="G17" s="5"/>
      <c r="H17" s="5"/>
      <c r="I17" s="5"/>
      <c r="J17" s="5"/>
      <c r="K17" s="5"/>
      <c r="L17" s="5"/>
      <c r="M17" s="5"/>
      <c r="N17" s="5"/>
      <c r="O17" s="5"/>
      <c r="P17" s="5"/>
      <c r="Q17" s="5"/>
      <c r="R17" s="5"/>
      <c r="S17" s="5"/>
      <c r="T17" s="5"/>
      <c r="U17" s="5"/>
      <c r="V17" s="5"/>
      <c r="W17" s="5"/>
      <c r="X17" s="5"/>
    </row>
    <row r="19" spans="2:24" x14ac:dyDescent="0.25">
      <c r="G19" s="3"/>
    </row>
  </sheetData>
  <autoFilter ref="B2:T16">
    <filterColumn colId="2" showButton="0"/>
    <filterColumn colId="7" showButton="0"/>
    <filterColumn colId="11" showButton="0"/>
    <filterColumn colId="15" showButton="0"/>
  </autoFilter>
  <mergeCells count="67">
    <mergeCell ref="T2:T3"/>
    <mergeCell ref="D5:E5"/>
    <mergeCell ref="I5:J5"/>
    <mergeCell ref="M5:N5"/>
    <mergeCell ref="Q5:R5"/>
    <mergeCell ref="K2:K3"/>
    <mergeCell ref="O2:O3"/>
    <mergeCell ref="S2:S3"/>
    <mergeCell ref="H2:H3"/>
    <mergeCell ref="L2:L3"/>
    <mergeCell ref="P2:P3"/>
    <mergeCell ref="D2:E3"/>
    <mergeCell ref="I2:J3"/>
    <mergeCell ref="M2:N3"/>
    <mergeCell ref="Q2:R3"/>
    <mergeCell ref="M4:N4"/>
    <mergeCell ref="Q16:R16"/>
    <mergeCell ref="I15:J15"/>
    <mergeCell ref="I16:J16"/>
    <mergeCell ref="M6:N6"/>
    <mergeCell ref="M7:N7"/>
    <mergeCell ref="M8:N8"/>
    <mergeCell ref="I14:J14"/>
    <mergeCell ref="Q6:R6"/>
    <mergeCell ref="Q7:R7"/>
    <mergeCell ref="Q8:R8"/>
    <mergeCell ref="Q9:R9"/>
    <mergeCell ref="Q10:R10"/>
    <mergeCell ref="Q11:R11"/>
    <mergeCell ref="Q12:R12"/>
    <mergeCell ref="Q13:R13"/>
    <mergeCell ref="Q14:R14"/>
    <mergeCell ref="D16:E16"/>
    <mergeCell ref="D7:E7"/>
    <mergeCell ref="D8:E8"/>
    <mergeCell ref="D9:E9"/>
    <mergeCell ref="D10:E10"/>
    <mergeCell ref="D13:E13"/>
    <mergeCell ref="D14:E14"/>
    <mergeCell ref="F2:F3"/>
    <mergeCell ref="Q4:R4"/>
    <mergeCell ref="D15:E15"/>
    <mergeCell ref="Q15:R15"/>
    <mergeCell ref="M9:N9"/>
    <mergeCell ref="M10:N10"/>
    <mergeCell ref="M11:N11"/>
    <mergeCell ref="M12:N12"/>
    <mergeCell ref="I13:J13"/>
    <mergeCell ref="M13:N13"/>
    <mergeCell ref="M14:N14"/>
    <mergeCell ref="M15:N15"/>
    <mergeCell ref="M16:N16"/>
    <mergeCell ref="B2:B3"/>
    <mergeCell ref="I9:J9"/>
    <mergeCell ref="I10:J10"/>
    <mergeCell ref="I11:J11"/>
    <mergeCell ref="I12:J12"/>
    <mergeCell ref="D11:E11"/>
    <mergeCell ref="D12:E12"/>
    <mergeCell ref="I7:J7"/>
    <mergeCell ref="I8:J8"/>
    <mergeCell ref="D6:E6"/>
    <mergeCell ref="I6:J6"/>
    <mergeCell ref="C2:C3"/>
    <mergeCell ref="I4:J4"/>
    <mergeCell ref="G2:G3"/>
    <mergeCell ref="D4:E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D1:E12"/>
  <sheetViews>
    <sheetView showGridLines="0" zoomScaleNormal="100" workbookViewId="0">
      <selection activeCell="I9" sqref="I9"/>
    </sheetView>
  </sheetViews>
  <sheetFormatPr baseColWidth="10" defaultRowHeight="15" x14ac:dyDescent="0.25"/>
  <cols>
    <col min="2" max="2" width="11.42578125" customWidth="1"/>
    <col min="3" max="3" width="43.28515625" customWidth="1"/>
    <col min="4" max="4" width="3.5703125" customWidth="1"/>
    <col min="5" max="5" width="97.7109375" customWidth="1"/>
  </cols>
  <sheetData>
    <row r="1" spans="4:5" ht="15.75" thickBot="1" x14ac:dyDescent="0.3"/>
    <row r="2" spans="4:5" x14ac:dyDescent="0.25">
      <c r="D2" s="208" t="s">
        <v>11</v>
      </c>
      <c r="E2" s="209"/>
    </row>
    <row r="3" spans="4:5" x14ac:dyDescent="0.25">
      <c r="D3" s="210"/>
      <c r="E3" s="211"/>
    </row>
    <row r="4" spans="4:5" ht="70.5" customHeight="1" x14ac:dyDescent="0.25">
      <c r="D4" s="39" t="s">
        <v>12</v>
      </c>
      <c r="E4" s="36" t="s">
        <v>156</v>
      </c>
    </row>
    <row r="5" spans="4:5" ht="27" customHeight="1" x14ac:dyDescent="0.25">
      <c r="D5" s="39" t="s">
        <v>13</v>
      </c>
      <c r="E5" s="37" t="s">
        <v>51</v>
      </c>
    </row>
    <row r="6" spans="4:5" ht="21.75" customHeight="1" x14ac:dyDescent="0.25">
      <c r="D6" s="39" t="s">
        <v>14</v>
      </c>
      <c r="E6" s="38" t="s">
        <v>253</v>
      </c>
    </row>
    <row r="7" spans="4:5" x14ac:dyDescent="0.25">
      <c r="D7" s="212" t="s">
        <v>15</v>
      </c>
      <c r="E7" s="215" t="s">
        <v>16</v>
      </c>
    </row>
    <row r="8" spans="4:5" x14ac:dyDescent="0.25">
      <c r="D8" s="213"/>
      <c r="E8" s="216"/>
    </row>
    <row r="9" spans="4:5" x14ac:dyDescent="0.25">
      <c r="D9" s="213"/>
      <c r="E9" s="216"/>
    </row>
    <row r="10" spans="4:5" x14ac:dyDescent="0.25">
      <c r="D10" s="214"/>
      <c r="E10" s="217"/>
    </row>
    <row r="11" spans="4:5" ht="27" customHeight="1" x14ac:dyDescent="0.25">
      <c r="D11" s="212" t="s">
        <v>17</v>
      </c>
      <c r="E11" s="215" t="s">
        <v>18</v>
      </c>
    </row>
    <row r="12" spans="4:5" ht="35.25" customHeight="1" thickBot="1" x14ac:dyDescent="0.3">
      <c r="D12" s="218"/>
      <c r="E12" s="219"/>
    </row>
  </sheetData>
  <mergeCells count="5">
    <mergeCell ref="D2:E3"/>
    <mergeCell ref="D7:D10"/>
    <mergeCell ref="E7:E10"/>
    <mergeCell ref="D11:D12"/>
    <mergeCell ref="E11:E12"/>
  </mergeCells>
  <hyperlinks>
    <hyperlink ref="E4" r:id="rId1"/>
  </hyperlinks>
  <pageMargins left="0.7" right="0.7" top="0.75" bottom="0.75" header="0.3" footer="0.3"/>
  <pageSetup orientation="portrait" r:id="rId2"/>
  <drawing r:id="rId3"/>
  <pictur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W16"/>
  <sheetViews>
    <sheetView showGridLines="0" topLeftCell="L6" zoomScale="50" zoomScaleNormal="50" workbookViewId="0">
      <selection activeCell="M25" sqref="M25"/>
    </sheetView>
  </sheetViews>
  <sheetFormatPr baseColWidth="10" defaultRowHeight="18" outlineLevelCol="1" x14ac:dyDescent="0.25"/>
  <cols>
    <col min="1" max="1" width="7.85546875" style="20" customWidth="1"/>
    <col min="2" max="2" width="6.42578125" style="20" customWidth="1"/>
    <col min="3" max="3" width="48.140625" style="20" customWidth="1"/>
    <col min="4" max="7" width="21" style="20" customWidth="1"/>
    <col min="8" max="8" width="122.85546875" style="20" customWidth="1"/>
    <col min="9" max="9" width="53.28515625"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20" customWidth="1" outlineLevel="1"/>
    <col min="16" max="17" width="49" style="20" hidden="1" customWidth="1"/>
    <col min="18" max="18" width="1" style="21" hidden="1" customWidth="1"/>
    <col min="19" max="21" width="43.85546875" style="20" customWidth="1"/>
    <col min="22" max="22" width="12" style="20" customWidth="1"/>
    <col min="23" max="16384" width="11.42578125" style="20"/>
  </cols>
  <sheetData>
    <row r="1" spans="2:23" ht="18.75" thickBot="1" x14ac:dyDescent="0.3"/>
    <row r="2" spans="2:23" ht="28.5" thickBot="1" x14ac:dyDescent="0.3">
      <c r="C2" s="227"/>
      <c r="D2" s="228"/>
      <c r="E2" s="228"/>
      <c r="F2" s="228"/>
      <c r="G2" s="229"/>
      <c r="H2" s="236" t="s">
        <v>7</v>
      </c>
      <c r="I2" s="237"/>
      <c r="J2" s="237"/>
      <c r="K2" s="237"/>
      <c r="L2" s="237"/>
      <c r="M2" s="237"/>
      <c r="N2" s="237"/>
      <c r="O2" s="238"/>
      <c r="P2" s="242" t="s">
        <v>222</v>
      </c>
      <c r="Q2" s="243"/>
      <c r="R2" s="243"/>
      <c r="S2" s="243"/>
      <c r="T2" s="243"/>
      <c r="U2" s="243"/>
      <c r="V2" s="244"/>
      <c r="W2" s="22"/>
    </row>
    <row r="3" spans="2:23" ht="54.75" customHeight="1" thickBot="1" x14ac:dyDescent="0.3">
      <c r="C3" s="230"/>
      <c r="D3" s="231"/>
      <c r="E3" s="231"/>
      <c r="F3" s="231"/>
      <c r="G3" s="232"/>
      <c r="H3" s="239"/>
      <c r="I3" s="240"/>
      <c r="J3" s="240"/>
      <c r="K3" s="240"/>
      <c r="L3" s="240"/>
      <c r="M3" s="240"/>
      <c r="N3" s="240"/>
      <c r="O3" s="241"/>
      <c r="P3" s="242" t="s">
        <v>223</v>
      </c>
      <c r="Q3" s="243"/>
      <c r="R3" s="243"/>
      <c r="S3" s="243"/>
      <c r="T3" s="243"/>
      <c r="U3" s="243"/>
      <c r="V3" s="244"/>
      <c r="W3" s="23"/>
    </row>
    <row r="4" spans="2:23" ht="30.75" customHeight="1" x14ac:dyDescent="0.25">
      <c r="C4" s="230"/>
      <c r="D4" s="231"/>
      <c r="E4" s="231"/>
      <c r="F4" s="231"/>
      <c r="G4" s="232"/>
      <c r="H4" s="236" t="s">
        <v>220</v>
      </c>
      <c r="I4" s="237"/>
      <c r="J4" s="237"/>
      <c r="K4" s="237"/>
      <c r="L4" s="237"/>
      <c r="M4" s="237"/>
      <c r="N4" s="237"/>
      <c r="O4" s="238"/>
      <c r="P4" s="248" t="s">
        <v>27</v>
      </c>
      <c r="Q4" s="249"/>
      <c r="R4" s="249"/>
      <c r="S4" s="250"/>
      <c r="T4" s="254" t="s">
        <v>221</v>
      </c>
      <c r="U4" s="255"/>
      <c r="V4" s="256"/>
      <c r="W4" s="22"/>
    </row>
    <row r="5" spans="2:23" ht="71.25" customHeight="1" thickBot="1" x14ac:dyDescent="0.3">
      <c r="C5" s="233"/>
      <c r="D5" s="234"/>
      <c r="E5" s="234"/>
      <c r="F5" s="234"/>
      <c r="G5" s="235"/>
      <c r="H5" s="245"/>
      <c r="I5" s="246"/>
      <c r="J5" s="246"/>
      <c r="K5" s="246"/>
      <c r="L5" s="246"/>
      <c r="M5" s="246"/>
      <c r="N5" s="246"/>
      <c r="O5" s="247"/>
      <c r="P5" s="251"/>
      <c r="Q5" s="252"/>
      <c r="R5" s="252"/>
      <c r="S5" s="253"/>
      <c r="T5" s="257"/>
      <c r="U5" s="255"/>
      <c r="V5" s="256"/>
      <c r="W5" s="22"/>
    </row>
    <row r="6" spans="2:23" ht="18" customHeight="1" thickBot="1" x14ac:dyDescent="0.3">
      <c r="B6" s="22"/>
      <c r="C6" s="55"/>
      <c r="D6" s="55"/>
      <c r="E6" s="55"/>
      <c r="F6" s="55"/>
      <c r="G6" s="55"/>
      <c r="H6" s="24"/>
      <c r="I6" s="24"/>
      <c r="J6" s="24"/>
      <c r="K6" s="24"/>
      <c r="L6" s="24"/>
      <c r="M6" s="24"/>
      <c r="N6" s="24"/>
      <c r="O6" s="24"/>
      <c r="P6" s="24"/>
      <c r="Q6" s="24"/>
      <c r="R6" s="25"/>
      <c r="S6" s="24"/>
      <c r="T6" s="24"/>
      <c r="U6" s="24"/>
      <c r="V6" s="26"/>
      <c r="W6" s="22"/>
    </row>
    <row r="7" spans="2:23" ht="18.75" thickBot="1" x14ac:dyDescent="0.3">
      <c r="B7" s="53"/>
      <c r="C7" s="56"/>
      <c r="D7" s="56"/>
      <c r="E7" s="56"/>
      <c r="F7" s="56"/>
      <c r="G7" s="56"/>
      <c r="H7" s="56"/>
      <c r="I7" s="56"/>
      <c r="J7" s="56"/>
      <c r="K7" s="56"/>
      <c r="L7" s="56"/>
      <c r="M7" s="56"/>
      <c r="N7" s="56"/>
      <c r="O7" s="56"/>
      <c r="P7" s="56"/>
      <c r="Q7" s="56"/>
      <c r="R7" s="57"/>
      <c r="S7" s="56"/>
      <c r="T7" s="56"/>
      <c r="U7" s="56"/>
      <c r="V7" s="58"/>
      <c r="W7" s="22"/>
    </row>
    <row r="8" spans="2:23" ht="34.5" customHeight="1" thickBot="1" x14ac:dyDescent="0.3">
      <c r="B8" s="2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110.25" customHeight="1" thickBot="1" x14ac:dyDescent="0.55000000000000004">
      <c r="B9" s="27"/>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88.5" customHeight="1" thickBot="1" x14ac:dyDescent="0.3">
      <c r="B10" s="100">
        <v>1</v>
      </c>
      <c r="C10" s="226" t="s">
        <v>28</v>
      </c>
      <c r="D10" s="226" t="s">
        <v>35</v>
      </c>
      <c r="E10" s="226"/>
      <c r="F10" s="226"/>
      <c r="G10" s="226"/>
      <c r="H10" s="223" t="s">
        <v>228</v>
      </c>
      <c r="I10" s="223" t="s">
        <v>86</v>
      </c>
      <c r="J10" s="223" t="s">
        <v>3</v>
      </c>
      <c r="K10" s="223" t="s">
        <v>8</v>
      </c>
      <c r="L10" s="223" t="s">
        <v>45</v>
      </c>
      <c r="M10" s="43" t="s">
        <v>226</v>
      </c>
      <c r="N10" s="104">
        <v>0.23</v>
      </c>
      <c r="O10" s="104">
        <f>15/12</f>
        <v>1.25</v>
      </c>
      <c r="P10" s="224">
        <f>(N10*O10)+(N11*O11)+(N12*O12)+(N13*O13)+(N14*O14)+(N15*O15)</f>
        <v>0.80400000000000005</v>
      </c>
      <c r="Q10" s="224"/>
      <c r="R10" s="224"/>
      <c r="S10" s="104">
        <v>0.94</v>
      </c>
      <c r="T10" s="78" t="s">
        <v>216</v>
      </c>
      <c r="U10" s="91" t="s">
        <v>23</v>
      </c>
      <c r="V10" s="30"/>
      <c r="W10" s="22"/>
    </row>
    <row r="11" spans="2:23" ht="88.5" customHeight="1" thickBot="1" x14ac:dyDescent="0.3">
      <c r="B11" s="100">
        <v>2</v>
      </c>
      <c r="C11" s="226"/>
      <c r="D11" s="226"/>
      <c r="E11" s="226"/>
      <c r="F11" s="226"/>
      <c r="G11" s="226"/>
      <c r="H11" s="223"/>
      <c r="I11" s="223"/>
      <c r="J11" s="223"/>
      <c r="K11" s="223"/>
      <c r="L11" s="223"/>
      <c r="M11" s="43" t="s">
        <v>194</v>
      </c>
      <c r="N11" s="104">
        <v>0.1166</v>
      </c>
      <c r="O11" s="104">
        <v>0</v>
      </c>
      <c r="P11" s="104"/>
      <c r="Q11" s="104"/>
      <c r="R11" s="104"/>
      <c r="S11" s="78">
        <v>0</v>
      </c>
      <c r="T11" s="78">
        <v>1</v>
      </c>
      <c r="U11" s="91" t="s">
        <v>23</v>
      </c>
      <c r="V11" s="30"/>
      <c r="W11" s="22"/>
    </row>
    <row r="12" spans="2:23" ht="88.5" customHeight="1" thickBot="1" x14ac:dyDescent="0.3">
      <c r="B12" s="100">
        <v>3</v>
      </c>
      <c r="C12" s="226"/>
      <c r="D12" s="226"/>
      <c r="E12" s="226"/>
      <c r="F12" s="226"/>
      <c r="G12" s="226"/>
      <c r="H12" s="223"/>
      <c r="I12" s="223"/>
      <c r="J12" s="223"/>
      <c r="K12" s="223"/>
      <c r="L12" s="223"/>
      <c r="M12" s="43" t="s">
        <v>127</v>
      </c>
      <c r="N12" s="104">
        <v>0.1166</v>
      </c>
      <c r="O12" s="175">
        <f>(6/12)</f>
        <v>0.5</v>
      </c>
      <c r="P12" s="104"/>
      <c r="Q12" s="104"/>
      <c r="R12" s="104"/>
      <c r="S12" s="104">
        <v>0.5</v>
      </c>
      <c r="T12" s="78">
        <v>1</v>
      </c>
      <c r="U12" s="91" t="s">
        <v>23</v>
      </c>
      <c r="V12" s="30"/>
      <c r="W12" s="22"/>
    </row>
    <row r="13" spans="2:23" ht="88.5" customHeight="1" thickBot="1" x14ac:dyDescent="0.3">
      <c r="B13" s="100">
        <v>4</v>
      </c>
      <c r="C13" s="226"/>
      <c r="D13" s="226"/>
      <c r="E13" s="226"/>
      <c r="F13" s="226"/>
      <c r="G13" s="226"/>
      <c r="H13" s="223"/>
      <c r="I13" s="223"/>
      <c r="J13" s="223"/>
      <c r="K13" s="223"/>
      <c r="L13" s="223"/>
      <c r="M13" s="43" t="s">
        <v>128</v>
      </c>
      <c r="N13" s="104">
        <v>0.1166</v>
      </c>
      <c r="O13" s="175">
        <f>(164/164)</f>
        <v>1</v>
      </c>
      <c r="P13" s="104"/>
      <c r="Q13" s="104"/>
      <c r="R13" s="104"/>
      <c r="S13" s="104">
        <v>1</v>
      </c>
      <c r="T13" s="78">
        <v>1</v>
      </c>
      <c r="U13" s="91" t="s">
        <v>23</v>
      </c>
      <c r="V13" s="30"/>
      <c r="W13" s="22"/>
    </row>
    <row r="14" spans="2:23" ht="105" customHeight="1" thickBot="1" x14ac:dyDescent="0.3">
      <c r="B14" s="100">
        <v>5</v>
      </c>
      <c r="C14" s="226"/>
      <c r="D14" s="226"/>
      <c r="E14" s="226"/>
      <c r="F14" s="226"/>
      <c r="G14" s="226"/>
      <c r="H14" s="223"/>
      <c r="I14" s="223"/>
      <c r="J14" s="223"/>
      <c r="K14" s="223"/>
      <c r="L14" s="223"/>
      <c r="M14" s="43" t="s">
        <v>229</v>
      </c>
      <c r="N14" s="104">
        <v>0.1166</v>
      </c>
      <c r="O14" s="175">
        <f>16/16</f>
        <v>1</v>
      </c>
      <c r="P14" s="104"/>
      <c r="Q14" s="104"/>
      <c r="R14" s="104"/>
      <c r="S14" s="104">
        <v>1</v>
      </c>
      <c r="T14" s="78">
        <v>1</v>
      </c>
      <c r="U14" s="91" t="s">
        <v>23</v>
      </c>
      <c r="V14" s="30"/>
      <c r="W14" s="22"/>
    </row>
    <row r="15" spans="2:23" ht="261" customHeight="1" thickBot="1" x14ac:dyDescent="0.3">
      <c r="B15" s="100">
        <v>6</v>
      </c>
      <c r="C15" s="226"/>
      <c r="D15" s="226"/>
      <c r="E15" s="226"/>
      <c r="F15" s="226"/>
      <c r="G15" s="226"/>
      <c r="H15" s="45" t="s">
        <v>108</v>
      </c>
      <c r="I15" s="45" t="s">
        <v>86</v>
      </c>
      <c r="J15" s="45" t="s">
        <v>3</v>
      </c>
      <c r="K15" s="45" t="s">
        <v>8</v>
      </c>
      <c r="L15" s="45" t="s">
        <v>9</v>
      </c>
      <c r="M15" s="45" t="s">
        <v>46</v>
      </c>
      <c r="N15" s="104">
        <v>0.3</v>
      </c>
      <c r="O15" s="104">
        <f>3/4</f>
        <v>0.75</v>
      </c>
      <c r="P15" s="220"/>
      <c r="Q15" s="220"/>
      <c r="R15" s="220"/>
      <c r="S15" s="78">
        <v>0.67</v>
      </c>
      <c r="T15" s="78">
        <v>1</v>
      </c>
      <c r="U15" s="91" t="s">
        <v>23</v>
      </c>
      <c r="V15" s="30"/>
      <c r="W15" s="22"/>
    </row>
    <row r="16" spans="2:23" ht="18.75" thickBot="1" x14ac:dyDescent="0.3">
      <c r="B16" s="54"/>
      <c r="C16" s="31"/>
      <c r="D16" s="31"/>
      <c r="E16" s="31"/>
      <c r="F16" s="31"/>
      <c r="G16" s="31"/>
      <c r="H16" s="31"/>
      <c r="I16" s="31"/>
      <c r="J16" s="31"/>
      <c r="K16" s="31"/>
      <c r="L16" s="31"/>
      <c r="M16" s="31"/>
      <c r="N16" s="31"/>
      <c r="O16" s="31"/>
      <c r="P16" s="31"/>
      <c r="Q16" s="31"/>
      <c r="R16" s="32"/>
      <c r="S16" s="31"/>
      <c r="T16" s="31"/>
      <c r="U16" s="31"/>
      <c r="V16" s="33"/>
    </row>
  </sheetData>
  <autoFilter ref="D8:U15">
    <filterColumn colId="0" showButton="0"/>
    <filterColumn colId="1" showButton="0"/>
    <filterColumn colId="2" showButton="0"/>
    <filterColumn colId="4" showButton="0"/>
    <filterColumn colId="5" showButton="0"/>
    <filterColumn colId="6" showButton="0"/>
    <filterColumn colId="7" showButton="0"/>
    <filterColumn colId="12" showButton="0"/>
    <filterColumn colId="13" showButton="0"/>
  </autoFilter>
  <mergeCells count="27">
    <mergeCell ref="C8:C9"/>
    <mergeCell ref="D8:G9"/>
    <mergeCell ref="H8:L8"/>
    <mergeCell ref="M8:M9"/>
    <mergeCell ref="N8:N9"/>
    <mergeCell ref="C2:G5"/>
    <mergeCell ref="H2:O3"/>
    <mergeCell ref="P2:V2"/>
    <mergeCell ref="P3:V3"/>
    <mergeCell ref="H4:O5"/>
    <mergeCell ref="P4:S5"/>
    <mergeCell ref="T4:V5"/>
    <mergeCell ref="C10:C15"/>
    <mergeCell ref="D10:G15"/>
    <mergeCell ref="H10:H14"/>
    <mergeCell ref="I10:I14"/>
    <mergeCell ref="J10:J14"/>
    <mergeCell ref="P15:R15"/>
    <mergeCell ref="U8:U9"/>
    <mergeCell ref="V8:V9"/>
    <mergeCell ref="K10:K14"/>
    <mergeCell ref="L10:L14"/>
    <mergeCell ref="P10:R10"/>
    <mergeCell ref="O8:O9"/>
    <mergeCell ref="P8:R9"/>
    <mergeCell ref="S8:S9"/>
    <mergeCell ref="T8:T9"/>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W20"/>
  <sheetViews>
    <sheetView showGridLines="0" topLeftCell="J3" zoomScale="44" zoomScaleNormal="44" workbookViewId="0">
      <selection activeCell="T11" sqref="T11"/>
    </sheetView>
  </sheetViews>
  <sheetFormatPr baseColWidth="10" defaultRowHeight="18" outlineLevelCol="1" x14ac:dyDescent="0.25"/>
  <cols>
    <col min="1" max="1" width="7.85546875" style="20" customWidth="1"/>
    <col min="2" max="2" width="10.85546875" style="41" customWidth="1"/>
    <col min="3" max="3" width="41.7109375" style="20" customWidth="1"/>
    <col min="4" max="7" width="17.85546875" style="20" customWidth="1"/>
    <col min="8" max="8" width="122.85546875" style="20" customWidth="1"/>
    <col min="9" max="9" width="66.28515625"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40" customWidth="1" outlineLevel="1"/>
    <col min="16" max="17" width="49" style="40" hidden="1" customWidth="1"/>
    <col min="18" max="18" width="20.140625" style="51" hidden="1" customWidth="1"/>
    <col min="19" max="21" width="43.85546875" style="40" customWidth="1"/>
    <col min="22" max="22" width="29.7109375" style="40" bestFit="1" customWidth="1"/>
    <col min="23" max="16384" width="11.42578125" style="20"/>
  </cols>
  <sheetData>
    <row r="1" spans="2:23" ht="18.75" thickBot="1" x14ac:dyDescent="0.3">
      <c r="O1" s="20"/>
      <c r="P1" s="20"/>
      <c r="Q1" s="20"/>
      <c r="R1" s="21"/>
      <c r="S1" s="20"/>
      <c r="T1" s="20"/>
      <c r="U1" s="20"/>
      <c r="V1" s="20"/>
    </row>
    <row r="2" spans="2:23" ht="27" thickBot="1" x14ac:dyDescent="0.3">
      <c r="B2" s="279"/>
      <c r="C2" s="280"/>
      <c r="D2" s="280"/>
      <c r="E2" s="280"/>
      <c r="F2" s="280"/>
      <c r="G2" s="281"/>
      <c r="H2" s="261" t="s">
        <v>7</v>
      </c>
      <c r="I2" s="262"/>
      <c r="J2" s="262"/>
      <c r="K2" s="262"/>
      <c r="L2" s="262"/>
      <c r="M2" s="262"/>
      <c r="N2" s="262"/>
      <c r="O2" s="263"/>
      <c r="P2" s="258" t="s">
        <v>222</v>
      </c>
      <c r="Q2" s="259"/>
      <c r="R2" s="259"/>
      <c r="S2" s="259"/>
      <c r="T2" s="259"/>
      <c r="U2" s="259"/>
      <c r="V2" s="260"/>
      <c r="W2" s="22"/>
    </row>
    <row r="3" spans="2:23" ht="54.75" customHeight="1" thickBot="1" x14ac:dyDescent="0.3">
      <c r="B3" s="282"/>
      <c r="C3" s="283"/>
      <c r="D3" s="283"/>
      <c r="E3" s="283"/>
      <c r="F3" s="283"/>
      <c r="G3" s="222"/>
      <c r="H3" s="264"/>
      <c r="I3" s="265"/>
      <c r="J3" s="265"/>
      <c r="K3" s="265"/>
      <c r="L3" s="265"/>
      <c r="M3" s="265"/>
      <c r="N3" s="265"/>
      <c r="O3" s="266"/>
      <c r="P3" s="258" t="s">
        <v>223</v>
      </c>
      <c r="Q3" s="259"/>
      <c r="R3" s="259"/>
      <c r="S3" s="259"/>
      <c r="T3" s="259"/>
      <c r="U3" s="259"/>
      <c r="V3" s="260"/>
      <c r="W3" s="23"/>
    </row>
    <row r="4" spans="2:23" ht="30.75" customHeight="1" x14ac:dyDescent="0.25">
      <c r="B4" s="282"/>
      <c r="C4" s="283"/>
      <c r="D4" s="283"/>
      <c r="E4" s="283"/>
      <c r="F4" s="283"/>
      <c r="G4" s="222"/>
      <c r="H4" s="261" t="s">
        <v>220</v>
      </c>
      <c r="I4" s="262"/>
      <c r="J4" s="262"/>
      <c r="K4" s="262"/>
      <c r="L4" s="262"/>
      <c r="M4" s="262"/>
      <c r="N4" s="262"/>
      <c r="O4" s="263"/>
      <c r="P4" s="267" t="s">
        <v>27</v>
      </c>
      <c r="Q4" s="268"/>
      <c r="R4" s="268"/>
      <c r="S4" s="269"/>
      <c r="T4" s="273" t="s">
        <v>221</v>
      </c>
      <c r="U4" s="274"/>
      <c r="V4" s="275"/>
      <c r="W4" s="22"/>
    </row>
    <row r="5" spans="2:23" ht="46.5" customHeight="1" thickBot="1" x14ac:dyDescent="0.3">
      <c r="B5" s="284"/>
      <c r="C5" s="285"/>
      <c r="D5" s="285"/>
      <c r="E5" s="285"/>
      <c r="F5" s="285"/>
      <c r="G5" s="286"/>
      <c r="H5" s="264"/>
      <c r="I5" s="265"/>
      <c r="J5" s="265"/>
      <c r="K5" s="265"/>
      <c r="L5" s="265"/>
      <c r="M5" s="265"/>
      <c r="N5" s="265"/>
      <c r="O5" s="266"/>
      <c r="P5" s="270"/>
      <c r="Q5" s="271"/>
      <c r="R5" s="271"/>
      <c r="S5" s="272"/>
      <c r="T5" s="276"/>
      <c r="U5" s="277"/>
      <c r="V5" s="278"/>
      <c r="W5" s="22"/>
    </row>
    <row r="6" spans="2:23" ht="18" customHeight="1" thickBot="1" x14ac:dyDescent="0.3">
      <c r="B6" s="86"/>
      <c r="C6" s="55"/>
      <c r="D6" s="55"/>
      <c r="E6" s="55"/>
      <c r="F6" s="55"/>
      <c r="G6" s="55"/>
      <c r="H6" s="24"/>
      <c r="I6" s="24"/>
      <c r="J6" s="24"/>
      <c r="K6" s="24"/>
      <c r="L6" s="24"/>
      <c r="M6" s="24"/>
      <c r="N6" s="24"/>
      <c r="O6" s="24"/>
      <c r="P6" s="24"/>
      <c r="Q6" s="24"/>
      <c r="R6" s="25"/>
      <c r="S6" s="24"/>
      <c r="T6" s="24"/>
      <c r="U6" s="24"/>
      <c r="V6" s="26"/>
      <c r="W6" s="22"/>
    </row>
    <row r="7" spans="2:23" ht="18.75" thickBot="1" x14ac:dyDescent="0.3">
      <c r="B7" s="84"/>
      <c r="C7" s="56"/>
      <c r="D7" s="56"/>
      <c r="E7" s="56"/>
      <c r="F7" s="56"/>
      <c r="G7" s="56"/>
      <c r="H7" s="56"/>
      <c r="I7" s="56"/>
      <c r="J7" s="56"/>
      <c r="K7" s="56"/>
      <c r="L7" s="56"/>
      <c r="M7" s="56"/>
      <c r="N7" s="56"/>
      <c r="O7" s="56"/>
      <c r="P7" s="56"/>
      <c r="Q7" s="56"/>
      <c r="R7" s="57"/>
      <c r="S7" s="56"/>
      <c r="T7" s="56"/>
      <c r="U7" s="56"/>
      <c r="V7" s="58"/>
      <c r="W7" s="22"/>
    </row>
    <row r="8" spans="2:23" ht="45" customHeight="1" thickBot="1" x14ac:dyDescent="0.3">
      <c r="B8" s="85"/>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85"/>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218.25" customHeight="1" thickBot="1" x14ac:dyDescent="0.3">
      <c r="B10" s="85">
        <v>7</v>
      </c>
      <c r="C10" s="288" t="s">
        <v>83</v>
      </c>
      <c r="D10" s="226" t="s">
        <v>82</v>
      </c>
      <c r="E10" s="226"/>
      <c r="F10" s="226"/>
      <c r="G10" s="226"/>
      <c r="H10" s="72" t="s">
        <v>162</v>
      </c>
      <c r="I10" s="72" t="s">
        <v>87</v>
      </c>
      <c r="J10" s="71" t="s">
        <v>84</v>
      </c>
      <c r="K10" s="71" t="s">
        <v>26</v>
      </c>
      <c r="L10" s="159" t="s">
        <v>19</v>
      </c>
      <c r="M10" s="158" t="s">
        <v>227</v>
      </c>
      <c r="N10" s="93">
        <v>1</v>
      </c>
      <c r="O10" s="154">
        <v>1</v>
      </c>
      <c r="P10" s="93">
        <f>(N10*O10)+(N11*O11)</f>
        <v>2</v>
      </c>
      <c r="Q10" s="94"/>
      <c r="R10" s="94"/>
      <c r="S10" s="95">
        <v>0</v>
      </c>
      <c r="T10" s="95" t="s">
        <v>216</v>
      </c>
      <c r="U10" s="91" t="s">
        <v>23</v>
      </c>
      <c r="V10" s="30"/>
      <c r="W10" s="22"/>
    </row>
    <row r="11" spans="2:23" ht="234" customHeight="1" thickBot="1" x14ac:dyDescent="0.4">
      <c r="B11" s="85">
        <v>8</v>
      </c>
      <c r="C11" s="289"/>
      <c r="D11" s="226"/>
      <c r="E11" s="226"/>
      <c r="F11" s="226"/>
      <c r="G11" s="226"/>
      <c r="H11" s="68" t="s">
        <v>85</v>
      </c>
      <c r="I11" s="96" t="s">
        <v>87</v>
      </c>
      <c r="J11" s="68" t="s">
        <v>84</v>
      </c>
      <c r="K11" s="68" t="s">
        <v>26</v>
      </c>
      <c r="L11" s="159" t="s">
        <v>19</v>
      </c>
      <c r="M11" s="159" t="s">
        <v>225</v>
      </c>
      <c r="N11" s="75">
        <v>1</v>
      </c>
      <c r="O11" s="88">
        <f>(273/273)</f>
        <v>1</v>
      </c>
      <c r="P11" s="97"/>
      <c r="Q11" s="88"/>
      <c r="R11" s="88"/>
      <c r="S11" s="88" t="s">
        <v>254</v>
      </c>
      <c r="T11" s="88">
        <v>1</v>
      </c>
      <c r="U11" s="91" t="s">
        <v>23</v>
      </c>
      <c r="V11" s="46"/>
      <c r="W11" s="22"/>
    </row>
    <row r="12" spans="2:23" ht="144" customHeight="1" thickBot="1" x14ac:dyDescent="0.3">
      <c r="B12" s="85">
        <v>66</v>
      </c>
      <c r="C12" s="226"/>
      <c r="D12" s="226"/>
      <c r="E12" s="226"/>
      <c r="F12" s="226"/>
      <c r="G12" s="226"/>
      <c r="H12" s="226" t="s">
        <v>169</v>
      </c>
      <c r="I12" s="223" t="s">
        <v>255</v>
      </c>
      <c r="J12" s="71" t="s">
        <v>84</v>
      </c>
      <c r="K12" s="71" t="s">
        <v>26</v>
      </c>
      <c r="L12" s="157" t="s">
        <v>19</v>
      </c>
      <c r="M12" s="157" t="s">
        <v>241</v>
      </c>
      <c r="N12" s="74">
        <v>0.106</v>
      </c>
      <c r="O12" s="78">
        <f>73/106</f>
        <v>0.68867924528301883</v>
      </c>
      <c r="P12" s="98"/>
      <c r="Q12" s="99"/>
      <c r="R12" s="99"/>
      <c r="S12" s="78">
        <v>0</v>
      </c>
      <c r="T12" s="78">
        <v>1</v>
      </c>
      <c r="U12" s="91" t="s">
        <v>23</v>
      </c>
      <c r="V12" s="46"/>
      <c r="W12" s="22"/>
    </row>
    <row r="13" spans="2:23" ht="144" customHeight="1" thickBot="1" x14ac:dyDescent="0.3">
      <c r="B13" s="85">
        <v>67</v>
      </c>
      <c r="C13" s="226"/>
      <c r="D13" s="226"/>
      <c r="E13" s="226"/>
      <c r="F13" s="226"/>
      <c r="G13" s="226"/>
      <c r="H13" s="226"/>
      <c r="I13" s="223"/>
      <c r="J13" s="71" t="s">
        <v>84</v>
      </c>
      <c r="K13" s="71" t="s">
        <v>26</v>
      </c>
      <c r="L13" s="157" t="s">
        <v>19</v>
      </c>
      <c r="M13" s="157" t="s">
        <v>171</v>
      </c>
      <c r="N13" s="74">
        <v>0.106</v>
      </c>
      <c r="O13" s="78">
        <f>(33/106)</f>
        <v>0.31132075471698112</v>
      </c>
      <c r="P13" s="98"/>
      <c r="Q13" s="99"/>
      <c r="R13" s="99"/>
      <c r="S13" s="78">
        <v>0</v>
      </c>
      <c r="T13" s="78">
        <v>1</v>
      </c>
      <c r="U13" s="91" t="s">
        <v>24</v>
      </c>
      <c r="V13" s="46"/>
      <c r="W13" s="22"/>
    </row>
    <row r="14" spans="2:23" ht="144" customHeight="1" thickBot="1" x14ac:dyDescent="0.3">
      <c r="B14" s="85">
        <v>68</v>
      </c>
      <c r="C14" s="226"/>
      <c r="D14" s="226"/>
      <c r="E14" s="226"/>
      <c r="F14" s="226"/>
      <c r="G14" s="226"/>
      <c r="H14" s="226"/>
      <c r="I14" s="223"/>
      <c r="J14" s="71" t="s">
        <v>84</v>
      </c>
      <c r="K14" s="71" t="s">
        <v>26</v>
      </c>
      <c r="L14" s="157" t="s">
        <v>19</v>
      </c>
      <c r="M14" s="185" t="s">
        <v>256</v>
      </c>
      <c r="N14" s="186">
        <v>0.106</v>
      </c>
      <c r="O14" s="78"/>
      <c r="P14" s="98"/>
      <c r="Q14" s="99"/>
      <c r="R14" s="99"/>
      <c r="S14" s="78">
        <v>0</v>
      </c>
      <c r="T14" s="78" t="s">
        <v>195</v>
      </c>
      <c r="U14" s="91" t="s">
        <v>24</v>
      </c>
      <c r="V14" s="46"/>
      <c r="W14" s="22"/>
    </row>
    <row r="15" spans="2:23" ht="41.25" customHeight="1" thickBot="1" x14ac:dyDescent="0.3">
      <c r="B15" s="87"/>
      <c r="C15" s="67"/>
      <c r="D15" s="287"/>
      <c r="E15" s="287"/>
      <c r="F15" s="287"/>
      <c r="G15" s="287"/>
      <c r="H15" s="31"/>
      <c r="I15" s="31"/>
      <c r="J15" s="31"/>
      <c r="K15" s="31"/>
      <c r="L15" s="31"/>
      <c r="M15" s="31"/>
      <c r="N15" s="31"/>
      <c r="O15" s="48"/>
      <c r="P15" s="48"/>
      <c r="Q15" s="48"/>
      <c r="R15" s="49"/>
      <c r="S15" s="48"/>
      <c r="T15" s="48"/>
      <c r="U15" s="48"/>
      <c r="V15" s="50"/>
      <c r="W15" s="22"/>
    </row>
    <row r="20" spans="1:23" s="40" customFormat="1" x14ac:dyDescent="0.25">
      <c r="A20" s="20"/>
      <c r="B20" s="41"/>
      <c r="C20" s="20"/>
      <c r="D20" s="20"/>
      <c r="E20" s="20"/>
      <c r="F20" s="20"/>
      <c r="G20" s="20"/>
      <c r="H20" s="20"/>
      <c r="I20" s="20"/>
      <c r="J20" s="20"/>
      <c r="K20" s="20"/>
      <c r="L20" s="20"/>
      <c r="M20" s="20"/>
      <c r="N20" s="34"/>
      <c r="R20" s="51"/>
      <c r="W20" s="20"/>
    </row>
  </sheetData>
  <autoFilter ref="D8:U14">
    <filterColumn colId="0" showButton="0"/>
    <filterColumn colId="1" showButton="0"/>
    <filterColumn colId="2" showButton="0"/>
    <filterColumn colId="4" showButton="0"/>
    <filterColumn colId="5" showButton="0"/>
    <filterColumn colId="6" showButton="0"/>
    <filterColumn colId="7" showButton="0"/>
    <filterColumn colId="12" showButton="0"/>
    <filterColumn colId="13" showButton="0"/>
  </autoFilter>
  <mergeCells count="25">
    <mergeCell ref="B2:G5"/>
    <mergeCell ref="D15:G15"/>
    <mergeCell ref="C12:C14"/>
    <mergeCell ref="D12:G14"/>
    <mergeCell ref="H12:H14"/>
    <mergeCell ref="H2:O3"/>
    <mergeCell ref="I12:I14"/>
    <mergeCell ref="C10:C11"/>
    <mergeCell ref="D10:G11"/>
    <mergeCell ref="C8:C9"/>
    <mergeCell ref="D8:G9"/>
    <mergeCell ref="H8:L8"/>
    <mergeCell ref="M8:M9"/>
    <mergeCell ref="N8:N9"/>
    <mergeCell ref="O8:O9"/>
    <mergeCell ref="P8:R9"/>
    <mergeCell ref="S8:S9"/>
    <mergeCell ref="T8:T9"/>
    <mergeCell ref="U8:U9"/>
    <mergeCell ref="V8:V9"/>
    <mergeCell ref="P2:V2"/>
    <mergeCell ref="P3:V3"/>
    <mergeCell ref="H4:O5"/>
    <mergeCell ref="P4:S5"/>
    <mergeCell ref="T4:V5"/>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'LISTA DESPLEGABLE'!$B$3:$B$5</xm:f>
          </x14:formula1>
          <xm:sqref>U10:U14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W19"/>
  <sheetViews>
    <sheetView showGridLines="0" topLeftCell="L8" zoomScale="55" zoomScaleNormal="55" workbookViewId="0">
      <selection activeCell="T12" sqref="T12"/>
    </sheetView>
  </sheetViews>
  <sheetFormatPr baseColWidth="10" defaultRowHeight="18" outlineLevelCol="1" x14ac:dyDescent="0.25"/>
  <cols>
    <col min="1" max="1" width="7.85546875" style="20" customWidth="1"/>
    <col min="2" max="2" width="6.42578125" style="20" customWidth="1"/>
    <col min="3" max="3" width="42.7109375" style="20" customWidth="1"/>
    <col min="4" max="7" width="11.42578125" style="20"/>
    <col min="8" max="8" width="122.85546875" style="20" customWidth="1"/>
    <col min="9" max="9" width="68.28515625"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20" customWidth="1" outlineLevel="1"/>
    <col min="16" max="17" width="49" style="20" hidden="1" customWidth="1"/>
    <col min="18" max="18" width="1" style="21" hidden="1" customWidth="1"/>
    <col min="19" max="21" width="43.85546875" style="20" customWidth="1"/>
    <col min="22" max="22" width="13.28515625" style="20" customWidth="1"/>
    <col min="23" max="16384" width="11.42578125" style="20"/>
  </cols>
  <sheetData>
    <row r="1" spans="2:23" ht="18.75" thickBot="1" x14ac:dyDescent="0.3"/>
    <row r="2" spans="2:23" ht="28.5" thickBot="1" x14ac:dyDescent="0.3">
      <c r="B2" s="227"/>
      <c r="C2" s="228"/>
      <c r="D2" s="228"/>
      <c r="E2" s="228"/>
      <c r="F2" s="228"/>
      <c r="G2" s="229"/>
      <c r="H2" s="261" t="s">
        <v>7</v>
      </c>
      <c r="I2" s="262"/>
      <c r="J2" s="262"/>
      <c r="K2" s="262"/>
      <c r="L2" s="262"/>
      <c r="M2" s="262"/>
      <c r="N2" s="262"/>
      <c r="O2" s="263"/>
      <c r="P2" s="242" t="s">
        <v>222</v>
      </c>
      <c r="Q2" s="243"/>
      <c r="R2" s="243"/>
      <c r="S2" s="243"/>
      <c r="T2" s="243"/>
      <c r="U2" s="243"/>
      <c r="V2" s="244"/>
      <c r="W2" s="22"/>
    </row>
    <row r="3" spans="2:23" ht="54.75" customHeight="1" thickBot="1" x14ac:dyDescent="0.3">
      <c r="B3" s="230"/>
      <c r="C3" s="231"/>
      <c r="D3" s="231"/>
      <c r="E3" s="231"/>
      <c r="F3" s="231"/>
      <c r="G3" s="232"/>
      <c r="H3" s="264"/>
      <c r="I3" s="265"/>
      <c r="J3" s="265"/>
      <c r="K3" s="265"/>
      <c r="L3" s="265"/>
      <c r="M3" s="265"/>
      <c r="N3" s="265"/>
      <c r="O3" s="266"/>
      <c r="P3" s="242" t="s">
        <v>223</v>
      </c>
      <c r="Q3" s="243"/>
      <c r="R3" s="243"/>
      <c r="S3" s="243"/>
      <c r="T3" s="243"/>
      <c r="U3" s="243"/>
      <c r="V3" s="244"/>
      <c r="W3" s="23"/>
    </row>
    <row r="4" spans="2:23" ht="30.75" customHeight="1" x14ac:dyDescent="0.25">
      <c r="B4" s="230"/>
      <c r="C4" s="231"/>
      <c r="D4" s="231"/>
      <c r="E4" s="231"/>
      <c r="F4" s="231"/>
      <c r="G4" s="232"/>
      <c r="H4" s="261" t="s">
        <v>220</v>
      </c>
      <c r="I4" s="262"/>
      <c r="J4" s="262"/>
      <c r="K4" s="262"/>
      <c r="L4" s="262"/>
      <c r="M4" s="262"/>
      <c r="N4" s="262"/>
      <c r="O4" s="263"/>
      <c r="P4" s="248" t="s">
        <v>27</v>
      </c>
      <c r="Q4" s="249"/>
      <c r="R4" s="249"/>
      <c r="S4" s="250"/>
      <c r="T4" s="254" t="s">
        <v>221</v>
      </c>
      <c r="U4" s="255"/>
      <c r="V4" s="256"/>
      <c r="W4" s="22"/>
    </row>
    <row r="5" spans="2:23" ht="46.5" customHeight="1" thickBot="1" x14ac:dyDescent="0.3">
      <c r="B5" s="233"/>
      <c r="C5" s="234"/>
      <c r="D5" s="234"/>
      <c r="E5" s="234"/>
      <c r="F5" s="234"/>
      <c r="G5" s="235"/>
      <c r="H5" s="264"/>
      <c r="I5" s="265"/>
      <c r="J5" s="265"/>
      <c r="K5" s="265"/>
      <c r="L5" s="265"/>
      <c r="M5" s="265"/>
      <c r="N5" s="265"/>
      <c r="O5" s="266"/>
      <c r="P5" s="292"/>
      <c r="Q5" s="293"/>
      <c r="R5" s="293"/>
      <c r="S5" s="294"/>
      <c r="T5" s="295"/>
      <c r="U5" s="296"/>
      <c r="V5" s="297"/>
      <c r="W5" s="22"/>
    </row>
    <row r="6" spans="2:23" ht="18" customHeight="1" thickBot="1" x14ac:dyDescent="0.3">
      <c r="B6" s="22"/>
      <c r="C6" s="55"/>
      <c r="D6" s="55"/>
      <c r="E6" s="55"/>
      <c r="F6" s="55"/>
      <c r="G6" s="55"/>
      <c r="H6" s="24"/>
      <c r="I6" s="24"/>
      <c r="J6" s="24"/>
      <c r="K6" s="24"/>
      <c r="L6" s="24"/>
      <c r="M6" s="24"/>
      <c r="N6" s="24"/>
      <c r="O6" s="24"/>
      <c r="P6" s="24"/>
      <c r="Q6" s="24"/>
      <c r="R6" s="25"/>
      <c r="S6" s="24"/>
      <c r="T6" s="24"/>
      <c r="U6" s="24"/>
      <c r="V6" s="24"/>
      <c r="W6" s="22"/>
    </row>
    <row r="7" spans="2:23" ht="18.75" thickBot="1" x14ac:dyDescent="0.3">
      <c r="B7" s="53"/>
      <c r="C7" s="56"/>
      <c r="D7" s="56"/>
      <c r="E7" s="56"/>
      <c r="F7" s="56"/>
      <c r="G7" s="56"/>
      <c r="H7" s="56"/>
      <c r="I7" s="56"/>
      <c r="J7" s="56"/>
      <c r="K7" s="56"/>
      <c r="L7" s="56"/>
      <c r="M7" s="56"/>
      <c r="N7" s="56"/>
      <c r="O7" s="56"/>
      <c r="P7" s="56"/>
      <c r="Q7" s="56"/>
      <c r="R7" s="57"/>
      <c r="S7" s="56"/>
      <c r="T7" s="56"/>
      <c r="U7" s="56"/>
      <c r="V7" s="58"/>
      <c r="W7" s="22"/>
    </row>
    <row r="8" spans="2:23" ht="34.5" customHeight="1" thickBot="1" x14ac:dyDescent="0.3">
      <c r="B8" s="2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27"/>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234" customHeight="1" thickBot="1" x14ac:dyDescent="0.3">
      <c r="B10" s="100">
        <v>9</v>
      </c>
      <c r="C10" s="290" t="s">
        <v>28</v>
      </c>
      <c r="D10" s="290" t="s">
        <v>36</v>
      </c>
      <c r="E10" s="290"/>
      <c r="F10" s="290"/>
      <c r="G10" s="290"/>
      <c r="H10" s="60" t="s">
        <v>162</v>
      </c>
      <c r="I10" s="60" t="s">
        <v>88</v>
      </c>
      <c r="J10" s="61" t="s">
        <v>68</v>
      </c>
      <c r="K10" s="61" t="s">
        <v>26</v>
      </c>
      <c r="L10" s="61" t="s">
        <v>19</v>
      </c>
      <c r="M10" s="62" t="s">
        <v>227</v>
      </c>
      <c r="N10" s="63">
        <v>0.25</v>
      </c>
      <c r="O10" s="162">
        <v>1</v>
      </c>
      <c r="P10" s="291">
        <f>(N10*O10)+(N11*O11)+(N12*O12)+(N13*O13)+(N14*O14)</f>
        <v>0.7823889022312922</v>
      </c>
      <c r="Q10" s="291"/>
      <c r="R10" s="291"/>
      <c r="S10" s="44">
        <v>0</v>
      </c>
      <c r="T10" s="163" t="s">
        <v>216</v>
      </c>
      <c r="U10" s="136" t="s">
        <v>23</v>
      </c>
      <c r="V10" s="30"/>
      <c r="W10" s="22"/>
    </row>
    <row r="11" spans="2:23" ht="224.25" customHeight="1" thickBot="1" x14ac:dyDescent="0.4">
      <c r="B11" s="100">
        <v>10</v>
      </c>
      <c r="C11" s="290"/>
      <c r="D11" s="290"/>
      <c r="E11" s="290"/>
      <c r="F11" s="290"/>
      <c r="G11" s="290"/>
      <c r="H11" s="61" t="s">
        <v>237</v>
      </c>
      <c r="I11" s="60" t="s">
        <v>88</v>
      </c>
      <c r="J11" s="61" t="s">
        <v>68</v>
      </c>
      <c r="K11" s="61" t="s">
        <v>26</v>
      </c>
      <c r="L11" s="61" t="s">
        <v>19</v>
      </c>
      <c r="M11" s="59" t="s">
        <v>71</v>
      </c>
      <c r="N11" s="63">
        <v>0.45</v>
      </c>
      <c r="O11" s="160">
        <f>6958821/11080031</f>
        <v>0.62805067964160033</v>
      </c>
      <c r="P11" s="64"/>
      <c r="Q11" s="64"/>
      <c r="R11" s="65"/>
      <c r="S11" s="164">
        <f>SUM('[2]ANÁLISIS META ANUAL'!$E$4:$E$9)</f>
        <v>5016234</v>
      </c>
      <c r="T11" s="163">
        <v>1</v>
      </c>
      <c r="U11" s="136" t="s">
        <v>23</v>
      </c>
      <c r="V11" s="29"/>
      <c r="W11" s="22"/>
    </row>
    <row r="12" spans="2:23" ht="255" customHeight="1" thickBot="1" x14ac:dyDescent="0.3">
      <c r="B12" s="100">
        <v>11</v>
      </c>
      <c r="C12" s="290"/>
      <c r="D12" s="290"/>
      <c r="E12" s="290"/>
      <c r="F12" s="290"/>
      <c r="G12" s="290"/>
      <c r="H12" s="61" t="s">
        <v>65</v>
      </c>
      <c r="I12" s="60" t="s">
        <v>88</v>
      </c>
      <c r="J12" s="61" t="s">
        <v>68</v>
      </c>
      <c r="K12" s="61" t="s">
        <v>26</v>
      </c>
      <c r="L12" s="61" t="s">
        <v>19</v>
      </c>
      <c r="M12" s="59" t="s">
        <v>238</v>
      </c>
      <c r="N12" s="63">
        <v>0.1</v>
      </c>
      <c r="O12" s="160">
        <f>+(5588069+323451+47929)/9971287</f>
        <v>0.59766096392571988</v>
      </c>
      <c r="P12" s="291"/>
      <c r="Q12" s="291"/>
      <c r="R12" s="291"/>
      <c r="S12" s="165">
        <v>9023324</v>
      </c>
      <c r="T12" s="163">
        <v>1</v>
      </c>
      <c r="U12" s="136" t="s">
        <v>23</v>
      </c>
      <c r="V12" s="29"/>
      <c r="W12" s="22"/>
    </row>
    <row r="13" spans="2:23" ht="216" customHeight="1" thickBot="1" x14ac:dyDescent="0.3">
      <c r="B13" s="100">
        <v>12</v>
      </c>
      <c r="C13" s="290"/>
      <c r="D13" s="290"/>
      <c r="E13" s="290"/>
      <c r="F13" s="290"/>
      <c r="G13" s="290"/>
      <c r="H13" s="61" t="s">
        <v>66</v>
      </c>
      <c r="I13" s="60" t="s">
        <v>88</v>
      </c>
      <c r="J13" s="61" t="s">
        <v>68</v>
      </c>
      <c r="K13" s="61" t="s">
        <v>26</v>
      </c>
      <c r="L13" s="61" t="s">
        <v>19</v>
      </c>
      <c r="M13" s="59" t="s">
        <v>186</v>
      </c>
      <c r="N13" s="63">
        <v>0.05</v>
      </c>
      <c r="O13" s="160">
        <v>0.8</v>
      </c>
      <c r="P13" s="291"/>
      <c r="Q13" s="291"/>
      <c r="R13" s="291"/>
      <c r="S13" s="165">
        <v>2</v>
      </c>
      <c r="T13" s="163">
        <v>1</v>
      </c>
      <c r="U13" s="136" t="s">
        <v>23</v>
      </c>
      <c r="V13" s="29"/>
      <c r="W13" s="22"/>
    </row>
    <row r="14" spans="2:23" ht="232.5" customHeight="1" thickBot="1" x14ac:dyDescent="0.3">
      <c r="B14" s="100">
        <v>13</v>
      </c>
      <c r="C14" s="290"/>
      <c r="D14" s="290"/>
      <c r="E14" s="290"/>
      <c r="F14" s="290"/>
      <c r="G14" s="290"/>
      <c r="H14" s="61" t="s">
        <v>67</v>
      </c>
      <c r="I14" s="60" t="s">
        <v>88</v>
      </c>
      <c r="J14" s="61" t="s">
        <v>70</v>
      </c>
      <c r="K14" s="61" t="s">
        <v>26</v>
      </c>
      <c r="L14" s="61" t="s">
        <v>19</v>
      </c>
      <c r="M14" s="59" t="s">
        <v>72</v>
      </c>
      <c r="N14" s="63">
        <v>0.15</v>
      </c>
      <c r="O14" s="161">
        <v>1</v>
      </c>
      <c r="P14" s="291"/>
      <c r="Q14" s="291"/>
      <c r="R14" s="291"/>
      <c r="S14" s="165">
        <v>1</v>
      </c>
      <c r="T14" s="163">
        <v>1</v>
      </c>
      <c r="U14" s="136" t="s">
        <v>23</v>
      </c>
      <c r="V14" s="29"/>
      <c r="W14" s="22"/>
    </row>
    <row r="15" spans="2:23" ht="18.75" thickBot="1" x14ac:dyDescent="0.3">
      <c r="B15" s="54"/>
      <c r="C15" s="31"/>
      <c r="D15" s="31"/>
      <c r="E15" s="31"/>
      <c r="F15" s="31"/>
      <c r="G15" s="31"/>
      <c r="H15" s="31"/>
      <c r="I15" s="31"/>
      <c r="J15" s="31"/>
      <c r="K15" s="31"/>
      <c r="L15" s="31"/>
      <c r="M15" s="31"/>
      <c r="N15" s="31"/>
      <c r="O15" s="31"/>
      <c r="P15" s="31"/>
      <c r="Q15" s="31"/>
      <c r="R15" s="32"/>
      <c r="S15" s="31"/>
      <c r="T15" s="31"/>
      <c r="U15" s="31"/>
      <c r="V15" s="33"/>
    </row>
    <row r="19" spans="14:14" x14ac:dyDescent="0.25">
      <c r="N19" s="34"/>
    </row>
  </sheetData>
  <autoFilter ref="D8:U14">
    <filterColumn colId="0" showButton="0"/>
    <filterColumn colId="1" showButton="0"/>
    <filterColumn colId="2" showButton="0"/>
    <filterColumn colId="4" showButton="0"/>
    <filterColumn colId="5" showButton="0"/>
    <filterColumn colId="6" showButton="0"/>
    <filterColumn colId="7" showButton="0"/>
    <filterColumn colId="12" showButton="0"/>
    <filterColumn colId="13" showButton="0"/>
  </autoFilter>
  <mergeCells count="22">
    <mergeCell ref="B2:G5"/>
    <mergeCell ref="H2:O3"/>
    <mergeCell ref="P2:V2"/>
    <mergeCell ref="P3:V3"/>
    <mergeCell ref="H4:O5"/>
    <mergeCell ref="P4:S5"/>
    <mergeCell ref="T4:V5"/>
    <mergeCell ref="S8:S9"/>
    <mergeCell ref="T8:T9"/>
    <mergeCell ref="U8:U9"/>
    <mergeCell ref="V8:V9"/>
    <mergeCell ref="C8:C9"/>
    <mergeCell ref="D8:G9"/>
    <mergeCell ref="H8:L8"/>
    <mergeCell ref="M8:M9"/>
    <mergeCell ref="N8:N9"/>
    <mergeCell ref="O8:O9"/>
    <mergeCell ref="C10:C14"/>
    <mergeCell ref="D10:G14"/>
    <mergeCell ref="P10:R10"/>
    <mergeCell ref="P12:R14"/>
    <mergeCell ref="P8:R9"/>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W23"/>
  <sheetViews>
    <sheetView showGridLines="0" topLeftCell="K14" zoomScale="40" zoomScaleNormal="40" workbookViewId="0">
      <selection activeCell="T18" sqref="T18"/>
    </sheetView>
  </sheetViews>
  <sheetFormatPr baseColWidth="10" defaultRowHeight="18" outlineLevelCol="1" x14ac:dyDescent="0.25"/>
  <cols>
    <col min="1" max="1" width="7.85546875" style="20" customWidth="1"/>
    <col min="2" max="2" width="6.42578125" style="20" customWidth="1"/>
    <col min="3" max="3" width="45.42578125" style="20" customWidth="1"/>
    <col min="4" max="7" width="11.42578125" style="20"/>
    <col min="8" max="8" width="83.28515625" style="20" customWidth="1"/>
    <col min="9" max="9" width="71"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20" customWidth="1" outlineLevel="1"/>
    <col min="16" max="17" width="49" style="20" hidden="1" customWidth="1"/>
    <col min="18" max="18" width="1" style="21" hidden="1" customWidth="1"/>
    <col min="19" max="21" width="43.85546875" style="20" customWidth="1"/>
    <col min="22" max="22" width="11.85546875" style="20" customWidth="1"/>
    <col min="23" max="16384" width="11.42578125" style="20"/>
  </cols>
  <sheetData>
    <row r="1" spans="2:23" ht="18.75" thickBot="1" x14ac:dyDescent="0.3"/>
    <row r="2" spans="2:23" ht="28.5" thickBot="1" x14ac:dyDescent="0.3">
      <c r="B2" s="227"/>
      <c r="C2" s="228"/>
      <c r="D2" s="228"/>
      <c r="E2" s="228"/>
      <c r="F2" s="228"/>
      <c r="G2" s="229"/>
      <c r="H2" s="261" t="s">
        <v>7</v>
      </c>
      <c r="I2" s="262"/>
      <c r="J2" s="262"/>
      <c r="K2" s="262"/>
      <c r="L2" s="262"/>
      <c r="M2" s="262"/>
      <c r="N2" s="262"/>
      <c r="O2" s="263"/>
      <c r="P2" s="242" t="s">
        <v>222</v>
      </c>
      <c r="Q2" s="243"/>
      <c r="R2" s="243"/>
      <c r="S2" s="243"/>
      <c r="T2" s="243"/>
      <c r="U2" s="243"/>
      <c r="V2" s="244"/>
      <c r="W2" s="22"/>
    </row>
    <row r="3" spans="2:23" ht="54.75" customHeight="1" thickBot="1" x14ac:dyDescent="0.3">
      <c r="B3" s="230"/>
      <c r="C3" s="231"/>
      <c r="D3" s="231"/>
      <c r="E3" s="231"/>
      <c r="F3" s="231"/>
      <c r="G3" s="232"/>
      <c r="H3" s="264"/>
      <c r="I3" s="265"/>
      <c r="J3" s="265"/>
      <c r="K3" s="265"/>
      <c r="L3" s="265"/>
      <c r="M3" s="265"/>
      <c r="N3" s="265"/>
      <c r="O3" s="266"/>
      <c r="P3" s="242" t="s">
        <v>223</v>
      </c>
      <c r="Q3" s="243"/>
      <c r="R3" s="243"/>
      <c r="S3" s="243"/>
      <c r="T3" s="243"/>
      <c r="U3" s="243"/>
      <c r="V3" s="244"/>
      <c r="W3" s="23"/>
    </row>
    <row r="4" spans="2:23" ht="30.75" customHeight="1" x14ac:dyDescent="0.25">
      <c r="B4" s="230"/>
      <c r="C4" s="231"/>
      <c r="D4" s="231"/>
      <c r="E4" s="231"/>
      <c r="F4" s="231"/>
      <c r="G4" s="232"/>
      <c r="H4" s="261" t="s">
        <v>220</v>
      </c>
      <c r="I4" s="262"/>
      <c r="J4" s="262"/>
      <c r="K4" s="262"/>
      <c r="L4" s="262"/>
      <c r="M4" s="262"/>
      <c r="N4" s="262"/>
      <c r="O4" s="263"/>
      <c r="P4" s="248" t="s">
        <v>27</v>
      </c>
      <c r="Q4" s="249"/>
      <c r="R4" s="249"/>
      <c r="S4" s="250"/>
      <c r="T4" s="254" t="s">
        <v>221</v>
      </c>
      <c r="U4" s="255"/>
      <c r="V4" s="256"/>
      <c r="W4" s="22"/>
    </row>
    <row r="5" spans="2:23" ht="46.5" customHeight="1" thickBot="1" x14ac:dyDescent="0.3">
      <c r="B5" s="233"/>
      <c r="C5" s="234"/>
      <c r="D5" s="234"/>
      <c r="E5" s="234"/>
      <c r="F5" s="234"/>
      <c r="G5" s="235"/>
      <c r="H5" s="264"/>
      <c r="I5" s="265"/>
      <c r="J5" s="265"/>
      <c r="K5" s="265"/>
      <c r="L5" s="265"/>
      <c r="M5" s="265"/>
      <c r="N5" s="265"/>
      <c r="O5" s="266"/>
      <c r="P5" s="292"/>
      <c r="Q5" s="293"/>
      <c r="R5" s="293"/>
      <c r="S5" s="294"/>
      <c r="T5" s="295"/>
      <c r="U5" s="296"/>
      <c r="V5" s="297"/>
      <c r="W5" s="22"/>
    </row>
    <row r="6" spans="2:23" ht="18" customHeight="1" thickBot="1" x14ac:dyDescent="0.3">
      <c r="B6" s="22"/>
      <c r="C6" s="55"/>
      <c r="D6" s="55"/>
      <c r="E6" s="55"/>
      <c r="F6" s="55"/>
      <c r="G6" s="55"/>
      <c r="H6" s="24"/>
      <c r="I6" s="24"/>
      <c r="J6" s="24"/>
      <c r="K6" s="24"/>
      <c r="L6" s="24"/>
      <c r="M6" s="24"/>
      <c r="N6" s="24"/>
      <c r="O6" s="24"/>
      <c r="P6" s="24"/>
      <c r="Q6" s="24"/>
      <c r="R6" s="25"/>
      <c r="S6" s="24"/>
      <c r="T6" s="24"/>
      <c r="U6" s="24"/>
      <c r="V6" s="26"/>
      <c r="W6" s="22"/>
    </row>
    <row r="7" spans="2:23" ht="18.75" thickBot="1" x14ac:dyDescent="0.3">
      <c r="B7" s="53"/>
      <c r="C7" s="56"/>
      <c r="D7" s="56"/>
      <c r="E7" s="56"/>
      <c r="F7" s="56"/>
      <c r="G7" s="56"/>
      <c r="H7" s="56"/>
      <c r="I7" s="56"/>
      <c r="J7" s="56"/>
      <c r="K7" s="56"/>
      <c r="L7" s="56"/>
      <c r="M7" s="56"/>
      <c r="N7" s="56"/>
      <c r="O7" s="56"/>
      <c r="P7" s="56"/>
      <c r="Q7" s="56"/>
      <c r="R7" s="57"/>
      <c r="S7" s="56"/>
      <c r="T7" s="56"/>
      <c r="U7" s="56"/>
      <c r="V7" s="58"/>
      <c r="W7" s="22"/>
    </row>
    <row r="8" spans="2:23" ht="36" customHeight="1" thickBot="1" x14ac:dyDescent="0.3">
      <c r="B8" s="2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27"/>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357.75" thickBot="1" x14ac:dyDescent="0.3">
      <c r="B10" s="100">
        <v>14</v>
      </c>
      <c r="C10" s="226" t="s">
        <v>28</v>
      </c>
      <c r="D10" s="226" t="s">
        <v>55</v>
      </c>
      <c r="E10" s="226"/>
      <c r="F10" s="226"/>
      <c r="G10" s="226"/>
      <c r="H10" s="45" t="s">
        <v>162</v>
      </c>
      <c r="I10" s="52" t="s">
        <v>257</v>
      </c>
      <c r="J10" s="52" t="s">
        <v>32</v>
      </c>
      <c r="K10" s="52" t="s">
        <v>26</v>
      </c>
      <c r="L10" s="52" t="s">
        <v>19</v>
      </c>
      <c r="M10" s="66" t="s">
        <v>185</v>
      </c>
      <c r="N10" s="63">
        <v>0.3</v>
      </c>
      <c r="O10" s="198">
        <f>((25/25))</f>
        <v>1</v>
      </c>
      <c r="P10" s="44"/>
      <c r="Q10" s="44"/>
      <c r="R10" s="44"/>
      <c r="S10" s="44">
        <v>0</v>
      </c>
      <c r="T10" s="163" t="s">
        <v>216</v>
      </c>
      <c r="U10" s="181" t="s">
        <v>23</v>
      </c>
      <c r="V10" s="29"/>
      <c r="W10" s="22"/>
    </row>
    <row r="11" spans="2:23" ht="345" customHeight="1" thickBot="1" x14ac:dyDescent="0.3">
      <c r="B11" s="100">
        <v>15</v>
      </c>
      <c r="C11" s="226"/>
      <c r="D11" s="226"/>
      <c r="E11" s="226"/>
      <c r="F11" s="226"/>
      <c r="G11" s="226"/>
      <c r="H11" s="52" t="s">
        <v>109</v>
      </c>
      <c r="I11" s="52" t="s">
        <v>257</v>
      </c>
      <c r="J11" s="52" t="s">
        <v>56</v>
      </c>
      <c r="K11" s="52" t="s">
        <v>8</v>
      </c>
      <c r="L11" s="52" t="s">
        <v>19</v>
      </c>
      <c r="M11" s="52" t="s">
        <v>57</v>
      </c>
      <c r="N11" s="63">
        <v>0.1</v>
      </c>
      <c r="O11" s="199">
        <f>151726605000/194485935000</f>
        <v>0.78014178763106956</v>
      </c>
      <c r="P11" s="298">
        <f>(N11*O11)+(N12*O12)+(N13*O13)+(N14*O14)+(N15*O15)+(N16*O16)+(N17*O17)</f>
        <v>0.60753921976976732</v>
      </c>
      <c r="Q11" s="298"/>
      <c r="R11" s="298"/>
      <c r="S11" s="44">
        <v>0</v>
      </c>
      <c r="T11" s="163">
        <v>1</v>
      </c>
      <c r="U11" s="181" t="s">
        <v>23</v>
      </c>
      <c r="V11" s="29"/>
      <c r="W11" s="22"/>
    </row>
    <row r="12" spans="2:23" ht="349.5" customHeight="1" thickBot="1" x14ac:dyDescent="0.3">
      <c r="B12" s="100">
        <v>16</v>
      </c>
      <c r="C12" s="226"/>
      <c r="D12" s="226"/>
      <c r="E12" s="226"/>
      <c r="F12" s="226"/>
      <c r="G12" s="226"/>
      <c r="H12" s="52" t="s">
        <v>110</v>
      </c>
      <c r="I12" s="52" t="s">
        <v>257</v>
      </c>
      <c r="J12" s="52" t="s">
        <v>3</v>
      </c>
      <c r="K12" s="52" t="s">
        <v>26</v>
      </c>
      <c r="L12" s="52" t="s">
        <v>19</v>
      </c>
      <c r="M12" s="52" t="s">
        <v>140</v>
      </c>
      <c r="N12" s="63">
        <v>0.1</v>
      </c>
      <c r="O12" s="199">
        <f>((39900839663/38349447542)-1)</f>
        <v>4.0454093094846488E-2</v>
      </c>
      <c r="P12" s="299"/>
      <c r="Q12" s="299"/>
      <c r="R12" s="200"/>
      <c r="S12" s="44">
        <v>-0.32</v>
      </c>
      <c r="T12" s="44" t="s">
        <v>141</v>
      </c>
      <c r="U12" s="181" t="s">
        <v>24</v>
      </c>
      <c r="V12" s="29"/>
      <c r="W12" s="22"/>
    </row>
    <row r="13" spans="2:23" ht="345" customHeight="1" thickBot="1" x14ac:dyDescent="0.3">
      <c r="B13" s="100">
        <v>17</v>
      </c>
      <c r="C13" s="226"/>
      <c r="D13" s="226"/>
      <c r="E13" s="226"/>
      <c r="F13" s="226"/>
      <c r="G13" s="226"/>
      <c r="H13" s="52" t="s">
        <v>111</v>
      </c>
      <c r="I13" s="52" t="s">
        <v>257</v>
      </c>
      <c r="J13" s="52" t="s">
        <v>32</v>
      </c>
      <c r="K13" s="52" t="s">
        <v>26</v>
      </c>
      <c r="L13" s="52" t="s">
        <v>19</v>
      </c>
      <c r="M13" s="52" t="s">
        <v>58</v>
      </c>
      <c r="N13" s="63">
        <v>0.1</v>
      </c>
      <c r="O13" s="201">
        <f>116318494000/24899800000</f>
        <v>4.6714629836384232</v>
      </c>
      <c r="P13" s="202"/>
      <c r="Q13" s="202"/>
      <c r="R13" s="202"/>
      <c r="S13" s="203">
        <v>8.59</v>
      </c>
      <c r="T13" s="182" t="s">
        <v>59</v>
      </c>
      <c r="U13" s="181" t="s">
        <v>24</v>
      </c>
      <c r="V13" s="29"/>
      <c r="W13" s="22"/>
    </row>
    <row r="14" spans="2:23" ht="322.5" customHeight="1" thickBot="1" x14ac:dyDescent="0.3">
      <c r="B14" s="100">
        <v>18</v>
      </c>
      <c r="C14" s="226"/>
      <c r="D14" s="226"/>
      <c r="E14" s="226"/>
      <c r="F14" s="226"/>
      <c r="G14" s="226"/>
      <c r="H14" s="52" t="s">
        <v>112</v>
      </c>
      <c r="I14" s="52" t="s">
        <v>257</v>
      </c>
      <c r="J14" s="52" t="s">
        <v>107</v>
      </c>
      <c r="K14" s="52" t="s">
        <v>26</v>
      </c>
      <c r="L14" s="52" t="s">
        <v>19</v>
      </c>
      <c r="M14" s="66" t="s">
        <v>258</v>
      </c>
      <c r="N14" s="63">
        <v>0.1</v>
      </c>
      <c r="O14" s="204">
        <v>0</v>
      </c>
      <c r="P14" s="202"/>
      <c r="Q14" s="205"/>
      <c r="R14" s="202"/>
      <c r="S14" s="44">
        <v>0.22</v>
      </c>
      <c r="T14" s="163" t="s">
        <v>150</v>
      </c>
      <c r="U14" s="181" t="s">
        <v>24</v>
      </c>
      <c r="V14" s="29"/>
      <c r="W14" s="22"/>
    </row>
    <row r="15" spans="2:23" ht="332.25" customHeight="1" thickBot="1" x14ac:dyDescent="0.3">
      <c r="B15" s="100">
        <v>19</v>
      </c>
      <c r="C15" s="226"/>
      <c r="D15" s="226"/>
      <c r="E15" s="226"/>
      <c r="F15" s="226"/>
      <c r="G15" s="226"/>
      <c r="H15" s="52" t="s">
        <v>113</v>
      </c>
      <c r="I15" s="52" t="s">
        <v>257</v>
      </c>
      <c r="J15" s="52" t="s">
        <v>3</v>
      </c>
      <c r="K15" s="52" t="s">
        <v>26</v>
      </c>
      <c r="L15" s="52" t="s">
        <v>19</v>
      </c>
      <c r="M15" s="52" t="s">
        <v>60</v>
      </c>
      <c r="N15" s="63">
        <v>0.1</v>
      </c>
      <c r="O15" s="44">
        <v>0</v>
      </c>
      <c r="P15" s="202"/>
      <c r="Q15" s="205"/>
      <c r="R15" s="202"/>
      <c r="S15" s="44">
        <v>0</v>
      </c>
      <c r="T15" s="163" t="s">
        <v>64</v>
      </c>
      <c r="U15" s="181" t="s">
        <v>24</v>
      </c>
      <c r="V15" s="29"/>
      <c r="W15" s="22"/>
    </row>
    <row r="16" spans="2:23" ht="326.25" customHeight="1" thickBot="1" x14ac:dyDescent="0.3">
      <c r="B16" s="100">
        <v>20</v>
      </c>
      <c r="C16" s="226"/>
      <c r="D16" s="226"/>
      <c r="E16" s="226"/>
      <c r="F16" s="226"/>
      <c r="G16" s="226"/>
      <c r="H16" s="52" t="s">
        <v>114</v>
      </c>
      <c r="I16" s="52" t="s">
        <v>257</v>
      </c>
      <c r="J16" s="52" t="s">
        <v>32</v>
      </c>
      <c r="K16" s="52" t="s">
        <v>8</v>
      </c>
      <c r="L16" s="52" t="s">
        <v>19</v>
      </c>
      <c r="M16" s="52" t="s">
        <v>61</v>
      </c>
      <c r="N16" s="63">
        <v>0.1</v>
      </c>
      <c r="O16" s="44">
        <f>63/108</f>
        <v>0.58333333333333337</v>
      </c>
      <c r="P16" s="298"/>
      <c r="Q16" s="298"/>
      <c r="R16" s="298"/>
      <c r="S16" s="44">
        <v>0.95</v>
      </c>
      <c r="T16" s="163">
        <v>1</v>
      </c>
      <c r="U16" s="181" t="s">
        <v>23</v>
      </c>
      <c r="V16" s="29"/>
      <c r="W16" s="22"/>
    </row>
    <row r="17" spans="2:23" ht="339.75" customHeight="1" thickBot="1" x14ac:dyDescent="0.3">
      <c r="B17" s="100">
        <v>21</v>
      </c>
      <c r="C17" s="226"/>
      <c r="D17" s="226"/>
      <c r="E17" s="226"/>
      <c r="F17" s="226"/>
      <c r="G17" s="226"/>
      <c r="H17" s="52" t="s">
        <v>115</v>
      </c>
      <c r="I17" s="52" t="s">
        <v>257</v>
      </c>
      <c r="J17" s="52" t="s">
        <v>62</v>
      </c>
      <c r="K17" s="52" t="s">
        <v>26</v>
      </c>
      <c r="L17" s="52" t="s">
        <v>19</v>
      </c>
      <c r="M17" s="68" t="s">
        <v>63</v>
      </c>
      <c r="N17" s="63">
        <v>0.1</v>
      </c>
      <c r="O17" s="44">
        <v>0</v>
      </c>
      <c r="P17" s="298"/>
      <c r="Q17" s="298"/>
      <c r="R17" s="298"/>
      <c r="S17" s="44">
        <v>1</v>
      </c>
      <c r="T17" s="163" t="s">
        <v>64</v>
      </c>
      <c r="U17" s="181" t="s">
        <v>24</v>
      </c>
      <c r="V17" s="29"/>
      <c r="W17" s="22"/>
    </row>
    <row r="18" spans="2:23" ht="41.25" customHeight="1" thickBot="1" x14ac:dyDescent="0.3">
      <c r="B18" s="54"/>
      <c r="C18" s="67"/>
      <c r="D18" s="287"/>
      <c r="E18" s="287"/>
      <c r="F18" s="287"/>
      <c r="G18" s="287"/>
      <c r="H18" s="31"/>
      <c r="I18" s="31"/>
      <c r="J18" s="31"/>
      <c r="K18" s="31"/>
      <c r="L18" s="31"/>
      <c r="M18" s="31"/>
      <c r="N18" s="31"/>
      <c r="O18" s="31"/>
      <c r="P18" s="31"/>
      <c r="Q18" s="31"/>
      <c r="R18" s="32"/>
      <c r="S18" s="31"/>
      <c r="T18" s="31"/>
      <c r="U18" s="31"/>
      <c r="V18" s="33"/>
      <c r="W18" s="22"/>
    </row>
    <row r="23" spans="2:23" x14ac:dyDescent="0.25">
      <c r="N23" s="34"/>
    </row>
  </sheetData>
  <autoFilter ref="D8:U17">
    <filterColumn colId="0" showButton="0"/>
    <filterColumn colId="1" showButton="0"/>
    <filterColumn colId="2" showButton="0"/>
    <filterColumn colId="4" showButton="0"/>
    <filterColumn colId="5" showButton="0"/>
    <filterColumn colId="6" showButton="0"/>
    <filterColumn colId="7" showButton="0"/>
    <filterColumn colId="12" showButton="0"/>
    <filterColumn colId="13" showButton="0"/>
  </autoFilter>
  <mergeCells count="24">
    <mergeCell ref="B2:G5"/>
    <mergeCell ref="O8:O9"/>
    <mergeCell ref="H2:O3"/>
    <mergeCell ref="P2:V2"/>
    <mergeCell ref="P3:V3"/>
    <mergeCell ref="H4:O5"/>
    <mergeCell ref="P4:S5"/>
    <mergeCell ref="T4:V5"/>
    <mergeCell ref="C8:C9"/>
    <mergeCell ref="D8:G9"/>
    <mergeCell ref="H8:L8"/>
    <mergeCell ref="M8:M9"/>
    <mergeCell ref="N8:N9"/>
    <mergeCell ref="P8:R9"/>
    <mergeCell ref="S8:S9"/>
    <mergeCell ref="T8:T9"/>
    <mergeCell ref="U8:U9"/>
    <mergeCell ref="V8:V9"/>
    <mergeCell ref="D18:G18"/>
    <mergeCell ref="C10:C17"/>
    <mergeCell ref="D10:G17"/>
    <mergeCell ref="P11:R11"/>
    <mergeCell ref="P12:Q12"/>
    <mergeCell ref="P16:R17"/>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W52"/>
  <sheetViews>
    <sheetView showGridLines="0" topLeftCell="I1" zoomScale="40" zoomScaleNormal="40" workbookViewId="0">
      <selection activeCell="W11" sqref="W11"/>
    </sheetView>
  </sheetViews>
  <sheetFormatPr baseColWidth="10" defaultRowHeight="30" outlineLevelCol="1" x14ac:dyDescent="0.4"/>
  <cols>
    <col min="1" max="1" width="7.85546875" style="20" customWidth="1"/>
    <col min="2" max="2" width="15.85546875" style="112" customWidth="1"/>
    <col min="3" max="3" width="47.85546875" style="20" customWidth="1"/>
    <col min="4" max="7" width="16.85546875" style="20" customWidth="1"/>
    <col min="8" max="8" width="122.85546875" style="20" customWidth="1"/>
    <col min="9" max="9" width="74.140625"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20" customWidth="1" outlineLevel="1"/>
    <col min="16" max="17" width="49" style="20" hidden="1" customWidth="1"/>
    <col min="18" max="18" width="1" style="21" hidden="1" customWidth="1"/>
    <col min="19" max="21" width="43.85546875" style="20" customWidth="1"/>
    <col min="22" max="22" width="7.42578125" style="20" customWidth="1"/>
    <col min="23" max="16384" width="11.42578125" style="20"/>
  </cols>
  <sheetData>
    <row r="1" spans="2:23" ht="30.75" thickBot="1" x14ac:dyDescent="0.45"/>
    <row r="2" spans="2:23" ht="68.25" customHeight="1" thickBot="1" x14ac:dyDescent="0.3">
      <c r="B2" s="227"/>
      <c r="C2" s="228"/>
      <c r="D2" s="228"/>
      <c r="E2" s="228"/>
      <c r="F2" s="228"/>
      <c r="G2" s="229"/>
      <c r="H2" s="261" t="s">
        <v>7</v>
      </c>
      <c r="I2" s="262"/>
      <c r="J2" s="262"/>
      <c r="K2" s="262"/>
      <c r="L2" s="262"/>
      <c r="M2" s="262"/>
      <c r="N2" s="262"/>
      <c r="O2" s="263"/>
      <c r="P2" s="242" t="s">
        <v>222</v>
      </c>
      <c r="Q2" s="243"/>
      <c r="R2" s="243"/>
      <c r="S2" s="243"/>
      <c r="T2" s="243"/>
      <c r="U2" s="243"/>
      <c r="V2" s="244"/>
      <c r="W2" s="22"/>
    </row>
    <row r="3" spans="2:23" ht="54.75" customHeight="1" thickBot="1" x14ac:dyDescent="0.3">
      <c r="B3" s="230"/>
      <c r="C3" s="231"/>
      <c r="D3" s="231"/>
      <c r="E3" s="231"/>
      <c r="F3" s="231"/>
      <c r="G3" s="232"/>
      <c r="H3" s="264"/>
      <c r="I3" s="265"/>
      <c r="J3" s="265"/>
      <c r="K3" s="265"/>
      <c r="L3" s="265"/>
      <c r="M3" s="265"/>
      <c r="N3" s="265"/>
      <c r="O3" s="266"/>
      <c r="P3" s="242" t="s">
        <v>223</v>
      </c>
      <c r="Q3" s="243"/>
      <c r="R3" s="243"/>
      <c r="S3" s="243"/>
      <c r="T3" s="243"/>
      <c r="U3" s="243"/>
      <c r="V3" s="244"/>
      <c r="W3" s="23"/>
    </row>
    <row r="4" spans="2:23" ht="73.5" customHeight="1" x14ac:dyDescent="0.25">
      <c r="B4" s="230"/>
      <c r="C4" s="231"/>
      <c r="D4" s="231"/>
      <c r="E4" s="231"/>
      <c r="F4" s="231"/>
      <c r="G4" s="232"/>
      <c r="H4" s="261" t="s">
        <v>220</v>
      </c>
      <c r="I4" s="262"/>
      <c r="J4" s="262"/>
      <c r="K4" s="262"/>
      <c r="L4" s="262"/>
      <c r="M4" s="262"/>
      <c r="N4" s="262"/>
      <c r="O4" s="263"/>
      <c r="P4" s="248" t="s">
        <v>27</v>
      </c>
      <c r="Q4" s="249"/>
      <c r="R4" s="249"/>
      <c r="S4" s="250"/>
      <c r="T4" s="254" t="s">
        <v>221</v>
      </c>
      <c r="U4" s="255"/>
      <c r="V4" s="256"/>
      <c r="W4" s="22"/>
    </row>
    <row r="5" spans="2:23" ht="46.5" customHeight="1" thickBot="1" x14ac:dyDescent="0.3">
      <c r="B5" s="233"/>
      <c r="C5" s="234"/>
      <c r="D5" s="234"/>
      <c r="E5" s="234"/>
      <c r="F5" s="234"/>
      <c r="G5" s="235"/>
      <c r="H5" s="264"/>
      <c r="I5" s="265"/>
      <c r="J5" s="265"/>
      <c r="K5" s="265"/>
      <c r="L5" s="265"/>
      <c r="M5" s="265"/>
      <c r="N5" s="265"/>
      <c r="O5" s="266"/>
      <c r="P5" s="292"/>
      <c r="Q5" s="293"/>
      <c r="R5" s="293"/>
      <c r="S5" s="294"/>
      <c r="T5" s="295"/>
      <c r="U5" s="296"/>
      <c r="V5" s="297"/>
      <c r="W5" s="22"/>
    </row>
    <row r="6" spans="2:23" ht="18" customHeight="1" thickBot="1" x14ac:dyDescent="0.45">
      <c r="B6" s="113"/>
      <c r="C6" s="55"/>
      <c r="D6" s="55"/>
      <c r="E6" s="55"/>
      <c r="F6" s="55"/>
      <c r="G6" s="55"/>
      <c r="H6" s="24"/>
      <c r="I6" s="24"/>
      <c r="J6" s="24"/>
      <c r="K6" s="24"/>
      <c r="L6" s="24"/>
      <c r="M6" s="24"/>
      <c r="N6" s="24"/>
      <c r="O6" s="24"/>
      <c r="P6" s="24"/>
      <c r="Q6" s="24"/>
      <c r="R6" s="25"/>
      <c r="S6" s="24"/>
      <c r="T6" s="24"/>
      <c r="U6" s="24"/>
      <c r="V6" s="24"/>
      <c r="W6" s="22"/>
    </row>
    <row r="7" spans="2:23" ht="30.75" thickBot="1" x14ac:dyDescent="0.45">
      <c r="B7" s="114"/>
      <c r="C7" s="56"/>
      <c r="D7" s="56"/>
      <c r="E7" s="56"/>
      <c r="F7" s="56"/>
      <c r="G7" s="56"/>
      <c r="H7" s="56"/>
      <c r="I7" s="56"/>
      <c r="J7" s="56"/>
      <c r="K7" s="56"/>
      <c r="L7" s="56"/>
      <c r="M7" s="56"/>
      <c r="N7" s="56"/>
      <c r="O7" s="56"/>
      <c r="P7" s="56"/>
      <c r="Q7" s="56"/>
      <c r="R7" s="57"/>
      <c r="S7" s="56"/>
      <c r="T7" s="56"/>
      <c r="U7" s="56"/>
      <c r="V7" s="58"/>
      <c r="W7" s="22"/>
    </row>
    <row r="8" spans="2:23" ht="40.5" customHeight="1" thickBot="1" x14ac:dyDescent="0.45">
      <c r="B8" s="115"/>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115"/>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207.75" customHeight="1" thickBot="1" x14ac:dyDescent="0.3">
      <c r="B10" s="129">
        <v>22</v>
      </c>
      <c r="C10" s="226" t="s">
        <v>29</v>
      </c>
      <c r="D10" s="226" t="s">
        <v>37</v>
      </c>
      <c r="E10" s="226"/>
      <c r="F10" s="226"/>
      <c r="G10" s="226"/>
      <c r="H10" s="223"/>
      <c r="I10" s="223" t="s">
        <v>89</v>
      </c>
      <c r="J10" s="226" t="s">
        <v>163</v>
      </c>
      <c r="K10" s="226" t="s">
        <v>26</v>
      </c>
      <c r="L10" s="226" t="s">
        <v>19</v>
      </c>
      <c r="M10" s="69" t="s">
        <v>259</v>
      </c>
      <c r="N10" s="302">
        <v>0.1</v>
      </c>
      <c r="O10" s="117">
        <v>0</v>
      </c>
      <c r="P10" s="104"/>
      <c r="Q10" s="104"/>
      <c r="R10" s="104">
        <f>(N10*O10)+(N18*O18)+(N19*O19)+(N20*O20)+(N21*O21)+(N22*O22)+(N23*O23)+(N24*O24)+(N25*O25)+(N26*O26)+(N27*O27)+(N28*O28)+(N29*O29)+(N30*O30)+(N31*O31)+(N32*O32)+(N33*O33)+(N34*O34)+(N35*O35)+(N36*O36)+(N37*O37)+(N38*O38)+(N39*O39)+(N40*O40)+(N41*O41)+(N42*O42)+(N43*O43)+(N44*O44)+(N45*O45)</f>
        <v>0.31710526315789472</v>
      </c>
      <c r="S10" s="104">
        <v>0</v>
      </c>
      <c r="T10" s="104" t="s">
        <v>216</v>
      </c>
      <c r="U10" s="91" t="s">
        <v>24</v>
      </c>
      <c r="V10" s="29"/>
      <c r="W10" s="22"/>
    </row>
    <row r="11" spans="2:23" ht="207.75" customHeight="1" thickBot="1" x14ac:dyDescent="0.3">
      <c r="B11" s="129">
        <v>23</v>
      </c>
      <c r="C11" s="226"/>
      <c r="D11" s="226"/>
      <c r="E11" s="226"/>
      <c r="F11" s="226"/>
      <c r="G11" s="226"/>
      <c r="H11" s="223"/>
      <c r="I11" s="223"/>
      <c r="J11" s="226"/>
      <c r="K11" s="226"/>
      <c r="L11" s="226"/>
      <c r="M11" s="69" t="s">
        <v>217</v>
      </c>
      <c r="N11" s="302"/>
      <c r="O11" s="117">
        <f>10/10</f>
        <v>1</v>
      </c>
      <c r="P11" s="104"/>
      <c r="Q11" s="104"/>
      <c r="R11" s="104"/>
      <c r="S11" s="104">
        <v>0</v>
      </c>
      <c r="T11" s="104" t="s">
        <v>216</v>
      </c>
      <c r="U11" s="91" t="s">
        <v>23</v>
      </c>
      <c r="V11" s="29"/>
      <c r="W11" s="22"/>
    </row>
    <row r="12" spans="2:23" ht="265.5" customHeight="1" thickBot="1" x14ac:dyDescent="0.3">
      <c r="B12" s="129">
        <v>24</v>
      </c>
      <c r="C12" s="226"/>
      <c r="D12" s="226"/>
      <c r="E12" s="226"/>
      <c r="F12" s="226"/>
      <c r="G12" s="226"/>
      <c r="H12" s="223"/>
      <c r="I12" s="223"/>
      <c r="J12" s="226"/>
      <c r="K12" s="226"/>
      <c r="L12" s="226"/>
      <c r="M12" s="69" t="s">
        <v>260</v>
      </c>
      <c r="N12" s="302"/>
      <c r="O12" s="117">
        <f>AVERAGE((30/10),(10/2),(15/10),(4/10),(10/10))</f>
        <v>2.1800000000000002</v>
      </c>
      <c r="P12" s="104"/>
      <c r="Q12" s="104"/>
      <c r="R12" s="104"/>
      <c r="S12" s="104">
        <v>0</v>
      </c>
      <c r="T12" s="104" t="s">
        <v>216</v>
      </c>
      <c r="U12" s="91" t="s">
        <v>23</v>
      </c>
      <c r="V12" s="29"/>
      <c r="W12" s="22"/>
    </row>
    <row r="13" spans="2:23" ht="207.75" customHeight="1" thickBot="1" x14ac:dyDescent="0.3">
      <c r="B13" s="129">
        <v>25</v>
      </c>
      <c r="C13" s="226"/>
      <c r="D13" s="226"/>
      <c r="E13" s="226"/>
      <c r="F13" s="226"/>
      <c r="G13" s="226"/>
      <c r="H13" s="223"/>
      <c r="I13" s="223"/>
      <c r="J13" s="226"/>
      <c r="K13" s="226"/>
      <c r="L13" s="226"/>
      <c r="M13" s="70" t="s">
        <v>231</v>
      </c>
      <c r="N13" s="302"/>
      <c r="O13" s="194">
        <f>AVERAGE((15/10),(10/10))</f>
        <v>1.25</v>
      </c>
      <c r="P13" s="104"/>
      <c r="Q13" s="104"/>
      <c r="R13" s="104"/>
      <c r="S13" s="104">
        <v>0</v>
      </c>
      <c r="T13" s="104" t="s">
        <v>216</v>
      </c>
      <c r="U13" s="91" t="s">
        <v>23</v>
      </c>
      <c r="V13" s="29"/>
      <c r="W13" s="22"/>
    </row>
    <row r="14" spans="2:23" ht="207.75" customHeight="1" thickBot="1" x14ac:dyDescent="0.3">
      <c r="B14" s="129">
        <v>26</v>
      </c>
      <c r="C14" s="226"/>
      <c r="D14" s="226"/>
      <c r="E14" s="226"/>
      <c r="F14" s="226"/>
      <c r="G14" s="226"/>
      <c r="H14" s="223"/>
      <c r="I14" s="223"/>
      <c r="J14" s="226"/>
      <c r="K14" s="226"/>
      <c r="L14" s="226"/>
      <c r="M14" s="69" t="s">
        <v>232</v>
      </c>
      <c r="N14" s="302"/>
      <c r="O14" s="117">
        <f>10/10</f>
        <v>1</v>
      </c>
      <c r="P14" s="104"/>
      <c r="Q14" s="104"/>
      <c r="R14" s="104"/>
      <c r="S14" s="104">
        <v>0</v>
      </c>
      <c r="T14" s="104" t="s">
        <v>216</v>
      </c>
      <c r="U14" s="91" t="s">
        <v>23</v>
      </c>
      <c r="V14" s="29"/>
      <c r="W14" s="22"/>
    </row>
    <row r="15" spans="2:23" ht="179.25" customHeight="1" thickBot="1" x14ac:dyDescent="0.3">
      <c r="B15" s="129">
        <v>27</v>
      </c>
      <c r="C15" s="226"/>
      <c r="D15" s="226"/>
      <c r="E15" s="226"/>
      <c r="F15" s="226"/>
      <c r="G15" s="226"/>
      <c r="H15" s="223"/>
      <c r="I15" s="223"/>
      <c r="J15" s="226"/>
      <c r="K15" s="226"/>
      <c r="L15" s="226"/>
      <c r="M15" s="69" t="s">
        <v>233</v>
      </c>
      <c r="N15" s="302"/>
      <c r="O15" s="117">
        <f>10/10</f>
        <v>1</v>
      </c>
      <c r="P15" s="104"/>
      <c r="Q15" s="104"/>
      <c r="R15" s="104"/>
      <c r="S15" s="104">
        <v>0</v>
      </c>
      <c r="T15" s="104" t="s">
        <v>216</v>
      </c>
      <c r="U15" s="91" t="s">
        <v>23</v>
      </c>
      <c r="V15" s="29"/>
      <c r="W15" s="22"/>
    </row>
    <row r="16" spans="2:23" ht="149.25" customHeight="1" thickBot="1" x14ac:dyDescent="0.3">
      <c r="B16" s="129">
        <v>28</v>
      </c>
      <c r="C16" s="226"/>
      <c r="D16" s="226"/>
      <c r="E16" s="226"/>
      <c r="F16" s="226"/>
      <c r="G16" s="226"/>
      <c r="H16" s="223"/>
      <c r="I16" s="223"/>
      <c r="J16" s="226"/>
      <c r="K16" s="226"/>
      <c r="L16" s="226"/>
      <c r="M16" s="69" t="s">
        <v>218</v>
      </c>
      <c r="N16" s="302"/>
      <c r="O16" s="117">
        <f t="shared" ref="O16:O17" si="0">10/10</f>
        <v>1</v>
      </c>
      <c r="P16" s="104"/>
      <c r="Q16" s="104"/>
      <c r="R16" s="104"/>
      <c r="S16" s="104">
        <v>0</v>
      </c>
      <c r="T16" s="104" t="s">
        <v>216</v>
      </c>
      <c r="U16" s="91" t="s">
        <v>23</v>
      </c>
      <c r="V16" s="29"/>
      <c r="W16" s="22"/>
    </row>
    <row r="17" spans="2:23" ht="109.5" customHeight="1" thickBot="1" x14ac:dyDescent="0.3">
      <c r="B17" s="129">
        <v>29</v>
      </c>
      <c r="C17" s="226"/>
      <c r="D17" s="226"/>
      <c r="E17" s="226"/>
      <c r="F17" s="226"/>
      <c r="G17" s="226"/>
      <c r="H17" s="223"/>
      <c r="I17" s="223"/>
      <c r="J17" s="226"/>
      <c r="K17" s="226"/>
      <c r="L17" s="226"/>
      <c r="M17" s="69" t="s">
        <v>234</v>
      </c>
      <c r="N17" s="302"/>
      <c r="O17" s="117">
        <f t="shared" si="0"/>
        <v>1</v>
      </c>
      <c r="P17" s="104"/>
      <c r="Q17" s="104"/>
      <c r="R17" s="104"/>
      <c r="S17" s="104">
        <v>0</v>
      </c>
      <c r="T17" s="104" t="s">
        <v>216</v>
      </c>
      <c r="U17" s="91" t="s">
        <v>23</v>
      </c>
      <c r="V17" s="29"/>
      <c r="W17" s="22"/>
    </row>
    <row r="18" spans="2:23" ht="174.75" customHeight="1" thickBot="1" x14ac:dyDescent="0.4">
      <c r="B18" s="129">
        <v>30</v>
      </c>
      <c r="C18" s="226"/>
      <c r="D18" s="226"/>
      <c r="E18" s="226"/>
      <c r="F18" s="226"/>
      <c r="G18" s="226"/>
      <c r="H18" s="89" t="s">
        <v>116</v>
      </c>
      <c r="I18" s="90" t="s">
        <v>89</v>
      </c>
      <c r="J18" s="89" t="s">
        <v>33</v>
      </c>
      <c r="K18" s="89" t="s">
        <v>26</v>
      </c>
      <c r="L18" s="89" t="s">
        <v>19</v>
      </c>
      <c r="M18" s="89" t="s">
        <v>151</v>
      </c>
      <c r="N18" s="93">
        <v>0.05</v>
      </c>
      <c r="O18" s="78">
        <f>(12+4)/19</f>
        <v>0.84210526315789469</v>
      </c>
      <c r="P18" s="130"/>
      <c r="Q18" s="130"/>
      <c r="R18" s="131"/>
      <c r="S18" s="95">
        <v>0</v>
      </c>
      <c r="T18" s="132" t="s">
        <v>10</v>
      </c>
      <c r="U18" s="91" t="s">
        <v>23</v>
      </c>
      <c r="V18" s="29"/>
      <c r="W18" s="22"/>
    </row>
    <row r="19" spans="2:23" ht="144.75" customHeight="1" thickBot="1" x14ac:dyDescent="0.3">
      <c r="B19" s="129">
        <v>31</v>
      </c>
      <c r="C19" s="226"/>
      <c r="D19" s="226"/>
      <c r="E19" s="226"/>
      <c r="F19" s="226"/>
      <c r="G19" s="226"/>
      <c r="H19" s="226" t="s">
        <v>188</v>
      </c>
      <c r="I19" s="223" t="s">
        <v>89</v>
      </c>
      <c r="J19" s="226" t="s">
        <v>33</v>
      </c>
      <c r="K19" s="226" t="s">
        <v>54</v>
      </c>
      <c r="L19" s="226" t="s">
        <v>19</v>
      </c>
      <c r="M19" s="69" t="s">
        <v>197</v>
      </c>
      <c r="N19" s="93">
        <v>2.5000000000000001E-2</v>
      </c>
      <c r="O19" s="78">
        <v>0</v>
      </c>
      <c r="P19" s="301"/>
      <c r="Q19" s="301"/>
      <c r="R19" s="133"/>
      <c r="S19" s="95">
        <v>0</v>
      </c>
      <c r="T19" s="132" t="s">
        <v>10</v>
      </c>
      <c r="U19" s="91" t="s">
        <v>24</v>
      </c>
      <c r="V19" s="29"/>
      <c r="W19" s="22"/>
    </row>
    <row r="20" spans="2:23" ht="144.75" customHeight="1" thickBot="1" x14ac:dyDescent="0.3">
      <c r="B20" s="129">
        <v>32</v>
      </c>
      <c r="C20" s="226"/>
      <c r="D20" s="226"/>
      <c r="E20" s="226"/>
      <c r="F20" s="226"/>
      <c r="G20" s="226"/>
      <c r="H20" s="226"/>
      <c r="I20" s="223"/>
      <c r="J20" s="226"/>
      <c r="K20" s="226"/>
      <c r="L20" s="226"/>
      <c r="M20" s="69" t="s">
        <v>198</v>
      </c>
      <c r="N20" s="93">
        <v>2.5000000000000001E-2</v>
      </c>
      <c r="O20" s="78">
        <v>0</v>
      </c>
      <c r="P20" s="134"/>
      <c r="Q20" s="134"/>
      <c r="R20" s="133"/>
      <c r="S20" s="95">
        <v>0</v>
      </c>
      <c r="T20" s="132" t="s">
        <v>10</v>
      </c>
      <c r="U20" s="91" t="s">
        <v>24</v>
      </c>
      <c r="V20" s="29"/>
      <c r="W20" s="22"/>
    </row>
    <row r="21" spans="2:23" ht="144.75" customHeight="1" thickBot="1" x14ac:dyDescent="0.3">
      <c r="B21" s="129">
        <v>33</v>
      </c>
      <c r="C21" s="226"/>
      <c r="D21" s="226"/>
      <c r="E21" s="226"/>
      <c r="F21" s="226"/>
      <c r="G21" s="226"/>
      <c r="H21" s="226"/>
      <c r="I21" s="223"/>
      <c r="J21" s="226"/>
      <c r="K21" s="226"/>
      <c r="L21" s="226"/>
      <c r="M21" s="69" t="s">
        <v>199</v>
      </c>
      <c r="N21" s="93">
        <v>2.5000000000000001E-2</v>
      </c>
      <c r="O21" s="78">
        <v>0</v>
      </c>
      <c r="P21" s="134"/>
      <c r="Q21" s="134"/>
      <c r="R21" s="133"/>
      <c r="S21" s="95">
        <v>0</v>
      </c>
      <c r="T21" s="132" t="s">
        <v>10</v>
      </c>
      <c r="U21" s="91" t="s">
        <v>24</v>
      </c>
      <c r="V21" s="29"/>
      <c r="W21" s="22"/>
    </row>
    <row r="22" spans="2:23" ht="144.75" customHeight="1" thickBot="1" x14ac:dyDescent="0.3">
      <c r="B22" s="129">
        <v>34</v>
      </c>
      <c r="C22" s="226"/>
      <c r="D22" s="226"/>
      <c r="E22" s="226"/>
      <c r="F22" s="226"/>
      <c r="G22" s="226"/>
      <c r="H22" s="226"/>
      <c r="I22" s="223"/>
      <c r="J22" s="226"/>
      <c r="K22" s="226"/>
      <c r="L22" s="226"/>
      <c r="M22" s="69" t="s">
        <v>200</v>
      </c>
      <c r="N22" s="93">
        <v>2.5000000000000001E-2</v>
      </c>
      <c r="O22" s="78">
        <v>0</v>
      </c>
      <c r="P22" s="134"/>
      <c r="Q22" s="134"/>
      <c r="R22" s="133"/>
      <c r="S22" s="95">
        <v>0</v>
      </c>
      <c r="T22" s="132" t="s">
        <v>10</v>
      </c>
      <c r="U22" s="91" t="s">
        <v>24</v>
      </c>
      <c r="V22" s="29"/>
      <c r="W22" s="22"/>
    </row>
    <row r="23" spans="2:23" ht="144.75" customHeight="1" thickBot="1" x14ac:dyDescent="0.3">
      <c r="B23" s="129">
        <v>35</v>
      </c>
      <c r="C23" s="226"/>
      <c r="D23" s="226"/>
      <c r="E23" s="226"/>
      <c r="F23" s="226"/>
      <c r="G23" s="226"/>
      <c r="H23" s="226"/>
      <c r="I23" s="223"/>
      <c r="J23" s="226"/>
      <c r="K23" s="226"/>
      <c r="L23" s="226"/>
      <c r="M23" s="69" t="s">
        <v>201</v>
      </c>
      <c r="N23" s="93">
        <v>2.5000000000000001E-2</v>
      </c>
      <c r="O23" s="78">
        <v>0</v>
      </c>
      <c r="P23" s="134"/>
      <c r="Q23" s="134"/>
      <c r="R23" s="133"/>
      <c r="S23" s="95">
        <v>0</v>
      </c>
      <c r="T23" s="132" t="s">
        <v>10</v>
      </c>
      <c r="U23" s="91" t="s">
        <v>24</v>
      </c>
      <c r="V23" s="29"/>
      <c r="W23" s="22"/>
    </row>
    <row r="24" spans="2:23" ht="144.75" customHeight="1" thickBot="1" x14ac:dyDescent="0.3">
      <c r="B24" s="129">
        <v>36</v>
      </c>
      <c r="C24" s="226"/>
      <c r="D24" s="226"/>
      <c r="E24" s="226"/>
      <c r="F24" s="226"/>
      <c r="G24" s="226"/>
      <c r="H24" s="226"/>
      <c r="I24" s="223"/>
      <c r="J24" s="226"/>
      <c r="K24" s="226"/>
      <c r="L24" s="226"/>
      <c r="M24" s="69" t="s">
        <v>261</v>
      </c>
      <c r="N24" s="93">
        <v>2.5000000000000001E-2</v>
      </c>
      <c r="O24" s="78">
        <v>0</v>
      </c>
      <c r="P24" s="134"/>
      <c r="Q24" s="134"/>
      <c r="R24" s="133"/>
      <c r="S24" s="95">
        <v>0</v>
      </c>
      <c r="T24" s="132" t="s">
        <v>10</v>
      </c>
      <c r="U24" s="91" t="s">
        <v>24</v>
      </c>
      <c r="V24" s="29"/>
      <c r="W24" s="22"/>
    </row>
    <row r="25" spans="2:23" ht="144.75" customHeight="1" thickBot="1" x14ac:dyDescent="0.3">
      <c r="B25" s="129">
        <v>37</v>
      </c>
      <c r="C25" s="226"/>
      <c r="D25" s="226"/>
      <c r="E25" s="226"/>
      <c r="F25" s="226"/>
      <c r="G25" s="226"/>
      <c r="H25" s="226"/>
      <c r="I25" s="223"/>
      <c r="J25" s="226"/>
      <c r="K25" s="226"/>
      <c r="L25" s="226"/>
      <c r="M25" s="69" t="s">
        <v>202</v>
      </c>
      <c r="N25" s="93">
        <v>2.5000000000000001E-2</v>
      </c>
      <c r="O25" s="78">
        <v>0</v>
      </c>
      <c r="P25" s="134"/>
      <c r="Q25" s="134"/>
      <c r="R25" s="133"/>
      <c r="S25" s="95">
        <v>0</v>
      </c>
      <c r="T25" s="132" t="s">
        <v>10</v>
      </c>
      <c r="U25" s="91" t="s">
        <v>24</v>
      </c>
      <c r="V25" s="29"/>
      <c r="W25" s="22"/>
    </row>
    <row r="26" spans="2:23" ht="144.75" customHeight="1" thickBot="1" x14ac:dyDescent="0.3">
      <c r="B26" s="129">
        <v>38</v>
      </c>
      <c r="C26" s="226"/>
      <c r="D26" s="226"/>
      <c r="E26" s="226"/>
      <c r="F26" s="226"/>
      <c r="G26" s="226"/>
      <c r="H26" s="226"/>
      <c r="I26" s="223"/>
      <c r="J26" s="226"/>
      <c r="K26" s="226"/>
      <c r="L26" s="226"/>
      <c r="M26" s="69" t="s">
        <v>203</v>
      </c>
      <c r="N26" s="93">
        <v>2.5000000000000001E-2</v>
      </c>
      <c r="O26" s="78">
        <v>0</v>
      </c>
      <c r="P26" s="134"/>
      <c r="Q26" s="134"/>
      <c r="R26" s="133"/>
      <c r="S26" s="95">
        <v>0</v>
      </c>
      <c r="T26" s="132" t="s">
        <v>10</v>
      </c>
      <c r="U26" s="91" t="s">
        <v>24</v>
      </c>
      <c r="V26" s="29"/>
      <c r="W26" s="22"/>
    </row>
    <row r="27" spans="2:23" ht="144.75" customHeight="1" thickBot="1" x14ac:dyDescent="0.3">
      <c r="B27" s="129">
        <v>39</v>
      </c>
      <c r="C27" s="226"/>
      <c r="D27" s="226"/>
      <c r="E27" s="226"/>
      <c r="F27" s="226"/>
      <c r="G27" s="226"/>
      <c r="H27" s="226"/>
      <c r="I27" s="223"/>
      <c r="J27" s="226"/>
      <c r="K27" s="226"/>
      <c r="L27" s="226"/>
      <c r="M27" s="69" t="s">
        <v>204</v>
      </c>
      <c r="N27" s="93">
        <v>2.5000000000000001E-2</v>
      </c>
      <c r="O27" s="78">
        <v>0</v>
      </c>
      <c r="P27" s="134"/>
      <c r="Q27" s="134"/>
      <c r="R27" s="133"/>
      <c r="S27" s="95">
        <v>0</v>
      </c>
      <c r="T27" s="132" t="s">
        <v>10</v>
      </c>
      <c r="U27" s="91" t="s">
        <v>24</v>
      </c>
      <c r="V27" s="29"/>
      <c r="W27" s="22"/>
    </row>
    <row r="28" spans="2:23" ht="144.75" customHeight="1" thickBot="1" x14ac:dyDescent="0.3">
      <c r="B28" s="129">
        <v>40</v>
      </c>
      <c r="C28" s="226"/>
      <c r="D28" s="226"/>
      <c r="E28" s="226"/>
      <c r="F28" s="226"/>
      <c r="G28" s="226"/>
      <c r="H28" s="226"/>
      <c r="I28" s="223"/>
      <c r="J28" s="226"/>
      <c r="K28" s="226"/>
      <c r="L28" s="226"/>
      <c r="M28" s="69" t="s">
        <v>205</v>
      </c>
      <c r="N28" s="93">
        <v>2.5000000000000001E-2</v>
      </c>
      <c r="O28" s="78">
        <v>0</v>
      </c>
      <c r="P28" s="134"/>
      <c r="Q28" s="134"/>
      <c r="R28" s="133"/>
      <c r="S28" s="95">
        <v>0</v>
      </c>
      <c r="T28" s="132" t="s">
        <v>10</v>
      </c>
      <c r="U28" s="91" t="s">
        <v>24</v>
      </c>
      <c r="V28" s="29"/>
      <c r="W28" s="22"/>
    </row>
    <row r="29" spans="2:23" ht="144.75" customHeight="1" thickBot="1" x14ac:dyDescent="0.3">
      <c r="B29" s="129">
        <v>41</v>
      </c>
      <c r="C29" s="226"/>
      <c r="D29" s="226"/>
      <c r="E29" s="226"/>
      <c r="F29" s="226"/>
      <c r="G29" s="226"/>
      <c r="H29" s="226"/>
      <c r="I29" s="223"/>
      <c r="J29" s="226"/>
      <c r="K29" s="226"/>
      <c r="L29" s="226"/>
      <c r="M29" s="69" t="s">
        <v>206</v>
      </c>
      <c r="N29" s="93">
        <v>2.5000000000000001E-2</v>
      </c>
      <c r="O29" s="78">
        <v>0</v>
      </c>
      <c r="P29" s="134"/>
      <c r="Q29" s="134"/>
      <c r="R29" s="133"/>
      <c r="S29" s="95">
        <v>0</v>
      </c>
      <c r="T29" s="132" t="s">
        <v>10</v>
      </c>
      <c r="U29" s="91" t="s">
        <v>24</v>
      </c>
      <c r="V29" s="29"/>
      <c r="W29" s="22"/>
    </row>
    <row r="30" spans="2:23" ht="144.75" customHeight="1" thickBot="1" x14ac:dyDescent="0.3">
      <c r="B30" s="129">
        <v>42</v>
      </c>
      <c r="C30" s="226"/>
      <c r="D30" s="226"/>
      <c r="E30" s="226"/>
      <c r="F30" s="226"/>
      <c r="G30" s="226"/>
      <c r="H30" s="226"/>
      <c r="I30" s="223"/>
      <c r="J30" s="226"/>
      <c r="K30" s="226"/>
      <c r="L30" s="226"/>
      <c r="M30" s="69" t="s">
        <v>207</v>
      </c>
      <c r="N30" s="93">
        <v>2.5000000000000001E-2</v>
      </c>
      <c r="O30" s="78">
        <v>0</v>
      </c>
      <c r="P30" s="134"/>
      <c r="Q30" s="134"/>
      <c r="R30" s="133"/>
      <c r="S30" s="95">
        <v>0</v>
      </c>
      <c r="T30" s="132" t="s">
        <v>10</v>
      </c>
      <c r="U30" s="91" t="s">
        <v>24</v>
      </c>
      <c r="V30" s="29"/>
      <c r="W30" s="22"/>
    </row>
    <row r="31" spans="2:23" ht="144.75" customHeight="1" thickBot="1" x14ac:dyDescent="0.3">
      <c r="B31" s="129">
        <v>43</v>
      </c>
      <c r="C31" s="226"/>
      <c r="D31" s="226"/>
      <c r="E31" s="226"/>
      <c r="F31" s="226"/>
      <c r="G31" s="226"/>
      <c r="H31" s="226"/>
      <c r="I31" s="223"/>
      <c r="J31" s="226"/>
      <c r="K31" s="226"/>
      <c r="L31" s="226"/>
      <c r="M31" s="69" t="s">
        <v>208</v>
      </c>
      <c r="N31" s="93">
        <v>2.5000000000000001E-2</v>
      </c>
      <c r="O31" s="78">
        <v>0</v>
      </c>
      <c r="P31" s="134"/>
      <c r="Q31" s="134"/>
      <c r="R31" s="133"/>
      <c r="S31" s="95">
        <v>0</v>
      </c>
      <c r="T31" s="132" t="s">
        <v>10</v>
      </c>
      <c r="U31" s="91" t="s">
        <v>24</v>
      </c>
      <c r="V31" s="29"/>
      <c r="W31" s="22"/>
    </row>
    <row r="32" spans="2:23" ht="144.75" customHeight="1" thickBot="1" x14ac:dyDescent="0.3">
      <c r="B32" s="129">
        <v>44</v>
      </c>
      <c r="C32" s="226"/>
      <c r="D32" s="226"/>
      <c r="E32" s="226"/>
      <c r="F32" s="226"/>
      <c r="G32" s="226"/>
      <c r="H32" s="226"/>
      <c r="I32" s="223"/>
      <c r="J32" s="226"/>
      <c r="K32" s="226"/>
      <c r="L32" s="226"/>
      <c r="M32" s="69" t="s">
        <v>209</v>
      </c>
      <c r="N32" s="93">
        <v>2.5000000000000001E-2</v>
      </c>
      <c r="O32" s="78">
        <v>0</v>
      </c>
      <c r="P32" s="134"/>
      <c r="Q32" s="134"/>
      <c r="R32" s="133"/>
      <c r="S32" s="95">
        <v>0</v>
      </c>
      <c r="T32" s="132" t="s">
        <v>10</v>
      </c>
      <c r="U32" s="91" t="s">
        <v>24</v>
      </c>
      <c r="V32" s="29"/>
      <c r="W32" s="22"/>
    </row>
    <row r="33" spans="2:23" ht="144.75" customHeight="1" thickBot="1" x14ac:dyDescent="0.3">
      <c r="B33" s="129">
        <v>45</v>
      </c>
      <c r="C33" s="226"/>
      <c r="D33" s="226"/>
      <c r="E33" s="226"/>
      <c r="F33" s="226"/>
      <c r="G33" s="226"/>
      <c r="H33" s="226"/>
      <c r="I33" s="223"/>
      <c r="J33" s="226"/>
      <c r="K33" s="226"/>
      <c r="L33" s="226"/>
      <c r="M33" s="69" t="s">
        <v>210</v>
      </c>
      <c r="N33" s="93">
        <v>2.5000000000000001E-2</v>
      </c>
      <c r="O33" s="78">
        <f>19/19</f>
        <v>1</v>
      </c>
      <c r="P33" s="134"/>
      <c r="Q33" s="134"/>
      <c r="R33" s="133"/>
      <c r="S33" s="95">
        <v>0</v>
      </c>
      <c r="T33" s="132" t="s">
        <v>10</v>
      </c>
      <c r="U33" s="91" t="s">
        <v>23</v>
      </c>
      <c r="V33" s="29"/>
      <c r="W33" s="22"/>
    </row>
    <row r="34" spans="2:23" ht="144.75" customHeight="1" thickBot="1" x14ac:dyDescent="0.3">
      <c r="B34" s="129">
        <v>46</v>
      </c>
      <c r="C34" s="226"/>
      <c r="D34" s="226"/>
      <c r="E34" s="226"/>
      <c r="F34" s="226"/>
      <c r="G34" s="226"/>
      <c r="H34" s="226"/>
      <c r="I34" s="223"/>
      <c r="J34" s="226"/>
      <c r="K34" s="226"/>
      <c r="L34" s="226"/>
      <c r="M34" s="69" t="s">
        <v>211</v>
      </c>
      <c r="N34" s="93">
        <v>2.5000000000000001E-2</v>
      </c>
      <c r="O34" s="78">
        <f>3/3</f>
        <v>1</v>
      </c>
      <c r="P34" s="134"/>
      <c r="Q34" s="134"/>
      <c r="R34" s="133"/>
      <c r="S34" s="95">
        <v>0</v>
      </c>
      <c r="T34" s="132" t="s">
        <v>10</v>
      </c>
      <c r="U34" s="91" t="s">
        <v>23</v>
      </c>
      <c r="V34" s="29"/>
      <c r="W34" s="22"/>
    </row>
    <row r="35" spans="2:23" ht="144.75" customHeight="1" thickBot="1" x14ac:dyDescent="0.3">
      <c r="B35" s="129">
        <v>47</v>
      </c>
      <c r="C35" s="226"/>
      <c r="D35" s="226"/>
      <c r="E35" s="226"/>
      <c r="F35" s="226"/>
      <c r="G35" s="226"/>
      <c r="H35" s="226"/>
      <c r="I35" s="223"/>
      <c r="J35" s="226"/>
      <c r="K35" s="226"/>
      <c r="L35" s="226"/>
      <c r="M35" s="69" t="s">
        <v>212</v>
      </c>
      <c r="N35" s="93">
        <v>2.5000000000000001E-2</v>
      </c>
      <c r="O35" s="78">
        <v>0</v>
      </c>
      <c r="P35" s="134"/>
      <c r="Q35" s="134"/>
      <c r="R35" s="133"/>
      <c r="S35" s="95">
        <v>0</v>
      </c>
      <c r="T35" s="132" t="s">
        <v>10</v>
      </c>
      <c r="U35" s="91" t="s">
        <v>24</v>
      </c>
      <c r="V35" s="29"/>
      <c r="W35" s="22"/>
    </row>
    <row r="36" spans="2:23" ht="144.75" customHeight="1" thickBot="1" x14ac:dyDescent="0.3">
      <c r="B36" s="129">
        <v>48</v>
      </c>
      <c r="C36" s="226"/>
      <c r="D36" s="226"/>
      <c r="E36" s="226"/>
      <c r="F36" s="226"/>
      <c r="G36" s="226"/>
      <c r="H36" s="226"/>
      <c r="I36" s="223"/>
      <c r="J36" s="226"/>
      <c r="K36" s="226"/>
      <c r="L36" s="226"/>
      <c r="M36" s="69" t="s">
        <v>213</v>
      </c>
      <c r="N36" s="93">
        <v>2.5000000000000001E-2</v>
      </c>
      <c r="O36" s="78">
        <v>0</v>
      </c>
      <c r="P36" s="134"/>
      <c r="Q36" s="134"/>
      <c r="R36" s="133"/>
      <c r="S36" s="95">
        <v>0</v>
      </c>
      <c r="T36" s="132" t="s">
        <v>10</v>
      </c>
      <c r="U36" s="91" t="s">
        <v>24</v>
      </c>
      <c r="V36" s="29"/>
      <c r="W36" s="22"/>
    </row>
    <row r="37" spans="2:23" ht="144.75" customHeight="1" thickBot="1" x14ac:dyDescent="0.3">
      <c r="B37" s="129">
        <v>49</v>
      </c>
      <c r="C37" s="226"/>
      <c r="D37" s="226"/>
      <c r="E37" s="226"/>
      <c r="F37" s="226"/>
      <c r="G37" s="226"/>
      <c r="H37" s="226"/>
      <c r="I37" s="223"/>
      <c r="J37" s="226"/>
      <c r="K37" s="226"/>
      <c r="L37" s="226"/>
      <c r="M37" s="69" t="s">
        <v>214</v>
      </c>
      <c r="N37" s="93">
        <v>2.5000000000000001E-2</v>
      </c>
      <c r="O37" s="78">
        <v>0</v>
      </c>
      <c r="P37" s="134"/>
      <c r="Q37" s="134"/>
      <c r="R37" s="133"/>
      <c r="S37" s="95">
        <v>0</v>
      </c>
      <c r="T37" s="132" t="s">
        <v>10</v>
      </c>
      <c r="U37" s="91" t="s">
        <v>24</v>
      </c>
      <c r="V37" s="29"/>
      <c r="W37" s="22"/>
    </row>
    <row r="38" spans="2:23" ht="144.75" customHeight="1" thickBot="1" x14ac:dyDescent="0.3">
      <c r="B38" s="129">
        <v>50</v>
      </c>
      <c r="C38" s="226"/>
      <c r="D38" s="226"/>
      <c r="E38" s="226"/>
      <c r="F38" s="226"/>
      <c r="G38" s="226"/>
      <c r="H38" s="226"/>
      <c r="I38" s="223"/>
      <c r="J38" s="226"/>
      <c r="K38" s="226"/>
      <c r="L38" s="226"/>
      <c r="M38" s="69" t="s">
        <v>215</v>
      </c>
      <c r="N38" s="93">
        <v>2.5000000000000001E-2</v>
      </c>
      <c r="O38" s="78">
        <f>(5)/(5)</f>
        <v>1</v>
      </c>
      <c r="P38" s="134"/>
      <c r="Q38" s="134"/>
      <c r="R38" s="133"/>
      <c r="S38" s="95">
        <v>0</v>
      </c>
      <c r="T38" s="132" t="s">
        <v>10</v>
      </c>
      <c r="U38" s="91" t="s">
        <v>23</v>
      </c>
      <c r="V38" s="29"/>
      <c r="W38" s="22"/>
    </row>
    <row r="39" spans="2:23" ht="167.25" customHeight="1" thickBot="1" x14ac:dyDescent="0.3">
      <c r="B39" s="129">
        <v>51</v>
      </c>
      <c r="C39" s="226"/>
      <c r="D39" s="226"/>
      <c r="E39" s="226"/>
      <c r="F39" s="226"/>
      <c r="G39" s="226"/>
      <c r="H39" s="89" t="s">
        <v>117</v>
      </c>
      <c r="I39" s="90" t="s">
        <v>89</v>
      </c>
      <c r="J39" s="89" t="s">
        <v>33</v>
      </c>
      <c r="K39" s="89" t="s">
        <v>2</v>
      </c>
      <c r="L39" s="89" t="s">
        <v>19</v>
      </c>
      <c r="M39" s="89" t="s">
        <v>262</v>
      </c>
      <c r="N39" s="93">
        <v>0.05</v>
      </c>
      <c r="O39" s="117">
        <f>3/3</f>
        <v>1</v>
      </c>
      <c r="P39" s="135"/>
      <c r="Q39" s="135"/>
      <c r="R39" s="135"/>
      <c r="S39" s="95">
        <v>0</v>
      </c>
      <c r="T39" s="132" t="s">
        <v>10</v>
      </c>
      <c r="U39" s="91" t="s">
        <v>23</v>
      </c>
      <c r="V39" s="29"/>
      <c r="W39" s="22"/>
    </row>
    <row r="40" spans="2:23" ht="192" customHeight="1" thickBot="1" x14ac:dyDescent="0.3">
      <c r="B40" s="129">
        <v>52</v>
      </c>
      <c r="C40" s="226"/>
      <c r="D40" s="226"/>
      <c r="E40" s="226"/>
      <c r="F40" s="226"/>
      <c r="G40" s="226"/>
      <c r="H40" s="89" t="s">
        <v>118</v>
      </c>
      <c r="I40" s="90" t="s">
        <v>89</v>
      </c>
      <c r="J40" s="89" t="s">
        <v>33</v>
      </c>
      <c r="K40" s="89" t="s">
        <v>2</v>
      </c>
      <c r="L40" s="89" t="s">
        <v>19</v>
      </c>
      <c r="M40" s="89" t="s">
        <v>153</v>
      </c>
      <c r="N40" s="93">
        <v>0.05</v>
      </c>
      <c r="O40" s="117">
        <f>AVERAGE((3)/(3))</f>
        <v>1</v>
      </c>
      <c r="P40" s="135"/>
      <c r="Q40" s="135"/>
      <c r="R40" s="135"/>
      <c r="S40" s="95">
        <v>0</v>
      </c>
      <c r="T40" s="132" t="s">
        <v>10</v>
      </c>
      <c r="U40" s="91" t="s">
        <v>23</v>
      </c>
      <c r="V40" s="29"/>
      <c r="W40" s="22"/>
    </row>
    <row r="41" spans="2:23" ht="189.75" customHeight="1" thickBot="1" x14ac:dyDescent="0.3">
      <c r="B41" s="129">
        <v>53</v>
      </c>
      <c r="C41" s="226"/>
      <c r="D41" s="226"/>
      <c r="E41" s="226"/>
      <c r="F41" s="226"/>
      <c r="G41" s="226"/>
      <c r="H41" s="89" t="s">
        <v>119</v>
      </c>
      <c r="I41" s="90" t="s">
        <v>89</v>
      </c>
      <c r="J41" s="89" t="s">
        <v>52</v>
      </c>
      <c r="K41" s="89" t="s">
        <v>2</v>
      </c>
      <c r="L41" s="89" t="s">
        <v>19</v>
      </c>
      <c r="M41" s="68" t="s">
        <v>263</v>
      </c>
      <c r="N41" s="93">
        <v>0.05</v>
      </c>
      <c r="O41" s="175">
        <v>0</v>
      </c>
      <c r="P41" s="135"/>
      <c r="Q41" s="135"/>
      <c r="R41" s="135"/>
      <c r="S41" s="95">
        <v>0</v>
      </c>
      <c r="T41" s="132" t="s">
        <v>10</v>
      </c>
      <c r="U41" s="91" t="s">
        <v>24</v>
      </c>
      <c r="V41" s="29"/>
      <c r="W41" s="22"/>
    </row>
    <row r="42" spans="2:23" ht="144" customHeight="1" thickBot="1" x14ac:dyDescent="0.3">
      <c r="B42" s="129">
        <v>54</v>
      </c>
      <c r="C42" s="226"/>
      <c r="D42" s="226"/>
      <c r="E42" s="226"/>
      <c r="F42" s="226"/>
      <c r="G42" s="226"/>
      <c r="H42" s="226" t="s">
        <v>120</v>
      </c>
      <c r="I42" s="223" t="s">
        <v>89</v>
      </c>
      <c r="J42" s="226" t="s">
        <v>3</v>
      </c>
      <c r="K42" s="226" t="s">
        <v>2</v>
      </c>
      <c r="L42" s="226" t="s">
        <v>19</v>
      </c>
      <c r="M42" s="89" t="s">
        <v>154</v>
      </c>
      <c r="N42" s="93">
        <v>0.05</v>
      </c>
      <c r="O42" s="117">
        <v>0</v>
      </c>
      <c r="P42" s="135"/>
      <c r="Q42" s="135"/>
      <c r="R42" s="135"/>
      <c r="S42" s="95">
        <v>0</v>
      </c>
      <c r="T42" s="132" t="s">
        <v>10</v>
      </c>
      <c r="U42" s="91" t="s">
        <v>24</v>
      </c>
      <c r="V42" s="29"/>
      <c r="W42" s="22"/>
    </row>
    <row r="43" spans="2:23" ht="144" customHeight="1" thickBot="1" x14ac:dyDescent="0.3">
      <c r="B43" s="129">
        <v>55</v>
      </c>
      <c r="C43" s="226"/>
      <c r="D43" s="226"/>
      <c r="E43" s="226"/>
      <c r="F43" s="226"/>
      <c r="G43" s="226"/>
      <c r="H43" s="226"/>
      <c r="I43" s="223"/>
      <c r="J43" s="226"/>
      <c r="K43" s="226"/>
      <c r="L43" s="226"/>
      <c r="M43" s="66" t="s">
        <v>184</v>
      </c>
      <c r="N43" s="93">
        <v>0.05</v>
      </c>
      <c r="O43" s="117">
        <v>0</v>
      </c>
      <c r="P43" s="135"/>
      <c r="Q43" s="135"/>
      <c r="R43" s="135"/>
      <c r="S43" s="95">
        <v>0</v>
      </c>
      <c r="T43" s="93" t="s">
        <v>187</v>
      </c>
      <c r="U43" s="91" t="s">
        <v>24</v>
      </c>
      <c r="V43" s="29"/>
      <c r="W43" s="22"/>
    </row>
    <row r="44" spans="2:23" ht="188.25" customHeight="1" thickBot="1" x14ac:dyDescent="0.3">
      <c r="B44" s="129">
        <v>56</v>
      </c>
      <c r="C44" s="226"/>
      <c r="D44" s="226"/>
      <c r="E44" s="226"/>
      <c r="F44" s="226"/>
      <c r="G44" s="226"/>
      <c r="H44" s="89" t="s">
        <v>121</v>
      </c>
      <c r="I44" s="90" t="s">
        <v>89</v>
      </c>
      <c r="J44" s="89" t="s">
        <v>33</v>
      </c>
      <c r="K44" s="89" t="s">
        <v>53</v>
      </c>
      <c r="L44" s="89" t="s">
        <v>19</v>
      </c>
      <c r="M44" s="89" t="s">
        <v>155</v>
      </c>
      <c r="N44" s="93">
        <v>0.05</v>
      </c>
      <c r="O44" s="175">
        <f>15/15</f>
        <v>1</v>
      </c>
      <c r="P44" s="135"/>
      <c r="Q44" s="135"/>
      <c r="R44" s="135"/>
      <c r="S44" s="95">
        <v>0</v>
      </c>
      <c r="T44" s="132" t="s">
        <v>10</v>
      </c>
      <c r="U44" s="91" t="s">
        <v>23</v>
      </c>
      <c r="V44" s="29"/>
      <c r="W44" s="22"/>
    </row>
    <row r="45" spans="2:23" ht="189" customHeight="1" thickBot="1" x14ac:dyDescent="0.3">
      <c r="B45" s="129">
        <v>57</v>
      </c>
      <c r="C45" s="226"/>
      <c r="D45" s="226"/>
      <c r="E45" s="226"/>
      <c r="F45" s="226"/>
      <c r="G45" s="226"/>
      <c r="H45" s="89" t="s">
        <v>122</v>
      </c>
      <c r="I45" s="90" t="s">
        <v>89</v>
      </c>
      <c r="J45" s="89" t="s">
        <v>33</v>
      </c>
      <c r="K45" s="89" t="s">
        <v>54</v>
      </c>
      <c r="L45" s="89" t="s">
        <v>19</v>
      </c>
      <c r="M45" s="89" t="s">
        <v>152</v>
      </c>
      <c r="N45" s="93">
        <v>0.05</v>
      </c>
      <c r="O45" s="117">
        <f>(116+29)/(116+29)</f>
        <v>1</v>
      </c>
      <c r="P45" s="135"/>
      <c r="Q45" s="135"/>
      <c r="R45" s="135"/>
      <c r="S45" s="95">
        <v>0</v>
      </c>
      <c r="T45" s="132" t="s">
        <v>10</v>
      </c>
      <c r="U45" s="91" t="s">
        <v>23</v>
      </c>
      <c r="V45" s="29"/>
      <c r="W45" s="22"/>
    </row>
    <row r="46" spans="2:23" ht="409.5" customHeight="1" thickBot="1" x14ac:dyDescent="0.3">
      <c r="B46" s="129">
        <v>80</v>
      </c>
      <c r="C46" s="226" t="s">
        <v>31</v>
      </c>
      <c r="D46" s="226" t="s">
        <v>40</v>
      </c>
      <c r="E46" s="226"/>
      <c r="F46" s="226"/>
      <c r="G46" s="226"/>
      <c r="H46" s="90" t="s">
        <v>162</v>
      </c>
      <c r="I46" s="90" t="s">
        <v>264</v>
      </c>
      <c r="J46" s="89" t="s">
        <v>174</v>
      </c>
      <c r="K46" s="89" t="s">
        <v>26</v>
      </c>
      <c r="L46" s="89" t="s">
        <v>19</v>
      </c>
      <c r="M46" s="66" t="s">
        <v>181</v>
      </c>
      <c r="N46" s="74">
        <v>0.3</v>
      </c>
      <c r="O46" s="183">
        <v>0</v>
      </c>
      <c r="P46" s="93" t="s">
        <v>216</v>
      </c>
      <c r="Q46" s="93"/>
      <c r="R46" s="93"/>
      <c r="S46" s="95">
        <v>0</v>
      </c>
      <c r="T46" s="95" t="s">
        <v>216</v>
      </c>
      <c r="U46" s="91" t="s">
        <v>24</v>
      </c>
      <c r="V46" s="30"/>
      <c r="W46" s="22"/>
    </row>
    <row r="47" spans="2:23" ht="144" customHeight="1" thickBot="1" x14ac:dyDescent="0.3">
      <c r="B47" s="129">
        <v>81</v>
      </c>
      <c r="C47" s="226"/>
      <c r="D47" s="226"/>
      <c r="E47" s="226"/>
      <c r="F47" s="226"/>
      <c r="G47" s="226"/>
      <c r="H47" s="90" t="s">
        <v>172</v>
      </c>
      <c r="I47" s="90" t="s">
        <v>265</v>
      </c>
      <c r="J47" s="89" t="s">
        <v>173</v>
      </c>
      <c r="K47" s="89" t="s">
        <v>26</v>
      </c>
      <c r="L47" s="89" t="s">
        <v>19</v>
      </c>
      <c r="M47" s="89" t="s">
        <v>103</v>
      </c>
      <c r="N47" s="74">
        <v>0.25</v>
      </c>
      <c r="O47" s="183">
        <v>0</v>
      </c>
      <c r="P47" s="93">
        <v>1</v>
      </c>
      <c r="Q47" s="93"/>
      <c r="R47" s="93"/>
      <c r="S47" s="95">
        <v>0</v>
      </c>
      <c r="T47" s="95">
        <v>1</v>
      </c>
      <c r="U47" s="91" t="s">
        <v>24</v>
      </c>
      <c r="V47" s="30"/>
      <c r="W47" s="22"/>
    </row>
    <row r="48" spans="2:23" ht="409.5" customHeight="1" thickBot="1" x14ac:dyDescent="0.3">
      <c r="B48" s="129">
        <v>82</v>
      </c>
      <c r="C48" s="226"/>
      <c r="D48" s="226"/>
      <c r="E48" s="226"/>
      <c r="F48" s="226"/>
      <c r="G48" s="226"/>
      <c r="H48" s="89" t="s">
        <v>266</v>
      </c>
      <c r="I48" s="90" t="s">
        <v>267</v>
      </c>
      <c r="J48" s="89" t="s">
        <v>174</v>
      </c>
      <c r="K48" s="89" t="s">
        <v>26</v>
      </c>
      <c r="L48" s="89" t="s">
        <v>105</v>
      </c>
      <c r="M48" s="89" t="s">
        <v>196</v>
      </c>
      <c r="N48" s="74">
        <v>0.1</v>
      </c>
      <c r="O48" s="195">
        <f>11/11</f>
        <v>1</v>
      </c>
      <c r="P48" s="300">
        <f>(N48*O48)+(N49*O49)+(N50*O50)</f>
        <v>0.36358024691358026</v>
      </c>
      <c r="Q48" s="300"/>
      <c r="R48" s="300"/>
      <c r="S48" s="95">
        <v>0</v>
      </c>
      <c r="T48" s="95" t="s">
        <v>230</v>
      </c>
      <c r="U48" s="91" t="s">
        <v>23</v>
      </c>
      <c r="V48" s="30"/>
      <c r="W48" s="22"/>
    </row>
    <row r="49" spans="2:23" ht="408.75" customHeight="1" thickBot="1" x14ac:dyDescent="0.3">
      <c r="B49" s="129">
        <v>83</v>
      </c>
      <c r="C49" s="226"/>
      <c r="D49" s="226"/>
      <c r="E49" s="226"/>
      <c r="F49" s="226"/>
      <c r="G49" s="226"/>
      <c r="H49" s="89" t="s">
        <v>268</v>
      </c>
      <c r="I49" s="90" t="s">
        <v>269</v>
      </c>
      <c r="J49" s="89" t="s">
        <v>174</v>
      </c>
      <c r="K49" s="89" t="s">
        <v>26</v>
      </c>
      <c r="L49" s="89" t="s">
        <v>105</v>
      </c>
      <c r="M49" s="89" t="s">
        <v>177</v>
      </c>
      <c r="N49" s="74">
        <v>0.1</v>
      </c>
      <c r="O49" s="195">
        <f>10/10</f>
        <v>1</v>
      </c>
      <c r="P49" s="93"/>
      <c r="Q49" s="93"/>
      <c r="R49" s="93"/>
      <c r="S49" s="95">
        <v>0</v>
      </c>
      <c r="T49" s="95" t="s">
        <v>104</v>
      </c>
      <c r="U49" s="91" t="s">
        <v>23</v>
      </c>
      <c r="V49" s="30"/>
      <c r="W49" s="22"/>
    </row>
    <row r="50" spans="2:23" ht="404.25" customHeight="1" thickBot="1" x14ac:dyDescent="0.3">
      <c r="B50" s="129">
        <v>84</v>
      </c>
      <c r="C50" s="226"/>
      <c r="D50" s="226"/>
      <c r="E50" s="226"/>
      <c r="F50" s="226"/>
      <c r="G50" s="226"/>
      <c r="H50" s="89" t="s">
        <v>270</v>
      </c>
      <c r="I50" s="90" t="s">
        <v>269</v>
      </c>
      <c r="J50" s="89" t="s">
        <v>174</v>
      </c>
      <c r="K50" s="89" t="s">
        <v>26</v>
      </c>
      <c r="L50" s="89" t="s">
        <v>105</v>
      </c>
      <c r="M50" s="89" t="s">
        <v>106</v>
      </c>
      <c r="N50" s="74">
        <v>0.25</v>
      </c>
      <c r="O50" s="195">
        <f>265/405</f>
        <v>0.65432098765432101</v>
      </c>
      <c r="P50" s="93"/>
      <c r="Q50" s="93"/>
      <c r="R50" s="93"/>
      <c r="S50" s="95">
        <v>0.8</v>
      </c>
      <c r="T50" s="95" t="s">
        <v>104</v>
      </c>
      <c r="U50" s="91" t="s">
        <v>23</v>
      </c>
      <c r="V50" s="30"/>
      <c r="W50" s="22"/>
    </row>
    <row r="51" spans="2:23" x14ac:dyDescent="0.4">
      <c r="B51" s="115"/>
      <c r="C51" s="22"/>
      <c r="D51" s="22"/>
      <c r="E51" s="22"/>
      <c r="F51" s="22"/>
      <c r="G51" s="22"/>
      <c r="H51" s="22"/>
      <c r="I51" s="22"/>
      <c r="J51" s="22"/>
      <c r="K51" s="22"/>
      <c r="L51" s="22"/>
      <c r="M51" s="22"/>
      <c r="N51" s="22"/>
      <c r="O51" s="22"/>
      <c r="P51" s="22"/>
      <c r="Q51" s="22"/>
      <c r="R51" s="28"/>
      <c r="S51" s="22"/>
      <c r="T51" s="22"/>
      <c r="U51" s="22"/>
      <c r="V51" s="29"/>
    </row>
    <row r="52" spans="2:23" ht="30.75" thickBot="1" x14ac:dyDescent="0.45">
      <c r="B52" s="116"/>
      <c r="C52" s="31"/>
      <c r="D52" s="31"/>
      <c r="E52" s="31"/>
      <c r="F52" s="31"/>
      <c r="G52" s="31"/>
      <c r="H52" s="31"/>
      <c r="I52" s="31"/>
      <c r="J52" s="31"/>
      <c r="K52" s="31"/>
      <c r="L52" s="31"/>
      <c r="M52" s="31"/>
      <c r="N52" s="31"/>
      <c r="O52" s="31"/>
      <c r="P52" s="31"/>
      <c r="Q52" s="31"/>
      <c r="R52" s="32"/>
      <c r="S52" s="31"/>
      <c r="T52" s="31"/>
      <c r="U52" s="31"/>
      <c r="V52" s="33"/>
    </row>
  </sheetData>
  <autoFilter ref="D8:U50">
    <filterColumn colId="0" showButton="0"/>
    <filterColumn colId="1" showButton="0"/>
    <filterColumn colId="2" showButton="0"/>
    <filterColumn colId="4" showButton="0"/>
    <filterColumn colId="5" showButton="0"/>
    <filterColumn colId="6" showButton="0"/>
    <filterColumn colId="7" showButton="0"/>
    <filterColumn colId="12" showButton="0"/>
    <filterColumn colId="13" showButton="0"/>
  </autoFilter>
  <mergeCells count="40">
    <mergeCell ref="H4:O5"/>
    <mergeCell ref="P4:S5"/>
    <mergeCell ref="T4:V5"/>
    <mergeCell ref="T8:T9"/>
    <mergeCell ref="C8:C9"/>
    <mergeCell ref="D8:G9"/>
    <mergeCell ref="H8:L8"/>
    <mergeCell ref="M8:M9"/>
    <mergeCell ref="N8:N9"/>
    <mergeCell ref="U8:U9"/>
    <mergeCell ref="V8:V9"/>
    <mergeCell ref="O8:O9"/>
    <mergeCell ref="P8:R9"/>
    <mergeCell ref="S8:S9"/>
    <mergeCell ref="B2:G5"/>
    <mergeCell ref="H2:O3"/>
    <mergeCell ref="I19:I38"/>
    <mergeCell ref="J19:J38"/>
    <mergeCell ref="K19:K38"/>
    <mergeCell ref="L19:L38"/>
    <mergeCell ref="H10:H17"/>
    <mergeCell ref="I10:I17"/>
    <mergeCell ref="J10:J17"/>
    <mergeCell ref="K10:K17"/>
    <mergeCell ref="P2:V2"/>
    <mergeCell ref="P3:V3"/>
    <mergeCell ref="L10:L17"/>
    <mergeCell ref="C46:C50"/>
    <mergeCell ref="D46:G50"/>
    <mergeCell ref="P48:R48"/>
    <mergeCell ref="P19:Q19"/>
    <mergeCell ref="H42:H43"/>
    <mergeCell ref="I42:I43"/>
    <mergeCell ref="J42:J43"/>
    <mergeCell ref="K42:K43"/>
    <mergeCell ref="L42:L43"/>
    <mergeCell ref="C10:C45"/>
    <mergeCell ref="D10:G45"/>
    <mergeCell ref="N10:N17"/>
    <mergeCell ref="H19:H38"/>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U10:U50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AB20"/>
  <sheetViews>
    <sheetView showGridLines="0" topLeftCell="I13" zoomScale="46" zoomScaleNormal="46" workbookViewId="0">
      <selection activeCell="W10" sqref="W10"/>
    </sheetView>
  </sheetViews>
  <sheetFormatPr baseColWidth="10" defaultRowHeight="18" outlineLevelCol="1" x14ac:dyDescent="0.25"/>
  <cols>
    <col min="1" max="1" width="7.85546875" style="20" customWidth="1"/>
    <col min="2" max="2" width="6.42578125" style="41" customWidth="1"/>
    <col min="3" max="3" width="43.85546875" style="20" customWidth="1"/>
    <col min="4" max="7" width="17.28515625" style="20" customWidth="1"/>
    <col min="8" max="8" width="122.85546875" style="20" customWidth="1"/>
    <col min="9" max="9" width="53.28515625"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40" customWidth="1" outlineLevel="1"/>
    <col min="16" max="17" width="49" style="40" hidden="1" customWidth="1"/>
    <col min="18" max="18" width="1" style="51" hidden="1" customWidth="1"/>
    <col min="19" max="21" width="43.85546875" style="40" customWidth="1"/>
    <col min="22" max="22" width="7.28515625" style="40" customWidth="1"/>
    <col min="23" max="16384" width="11.42578125" style="20"/>
  </cols>
  <sheetData>
    <row r="1" spans="2:28" ht="18.75" thickBot="1" x14ac:dyDescent="0.3">
      <c r="O1" s="20"/>
      <c r="P1" s="20"/>
      <c r="Q1" s="20"/>
      <c r="R1" s="21"/>
      <c r="S1" s="20"/>
      <c r="T1" s="20"/>
      <c r="U1" s="20"/>
      <c r="V1" s="20"/>
    </row>
    <row r="2" spans="2:28" ht="27" thickBot="1" x14ac:dyDescent="0.3">
      <c r="B2" s="279"/>
      <c r="C2" s="280"/>
      <c r="D2" s="280"/>
      <c r="E2" s="280"/>
      <c r="F2" s="280"/>
      <c r="G2" s="281"/>
      <c r="H2" s="261" t="s">
        <v>7</v>
      </c>
      <c r="I2" s="262"/>
      <c r="J2" s="262"/>
      <c r="K2" s="262"/>
      <c r="L2" s="262"/>
      <c r="M2" s="262"/>
      <c r="N2" s="262"/>
      <c r="O2" s="263"/>
      <c r="P2" s="258" t="s">
        <v>222</v>
      </c>
      <c r="Q2" s="259"/>
      <c r="R2" s="259"/>
      <c r="S2" s="259"/>
      <c r="T2" s="259"/>
      <c r="U2" s="259"/>
      <c r="V2" s="260"/>
      <c r="W2" s="22"/>
    </row>
    <row r="3" spans="2:28" ht="54.75" customHeight="1" thickBot="1" x14ac:dyDescent="0.3">
      <c r="B3" s="282"/>
      <c r="C3" s="283"/>
      <c r="D3" s="283"/>
      <c r="E3" s="283"/>
      <c r="F3" s="283"/>
      <c r="G3" s="222"/>
      <c r="H3" s="264"/>
      <c r="I3" s="265"/>
      <c r="J3" s="265"/>
      <c r="K3" s="265"/>
      <c r="L3" s="265"/>
      <c r="M3" s="265"/>
      <c r="N3" s="265"/>
      <c r="O3" s="266"/>
      <c r="P3" s="258" t="s">
        <v>223</v>
      </c>
      <c r="Q3" s="259"/>
      <c r="R3" s="259"/>
      <c r="S3" s="259"/>
      <c r="T3" s="259"/>
      <c r="U3" s="259"/>
      <c r="V3" s="260"/>
      <c r="W3" s="23"/>
    </row>
    <row r="4" spans="2:28" ht="30.75" customHeight="1" x14ac:dyDescent="0.25">
      <c r="B4" s="282"/>
      <c r="C4" s="283"/>
      <c r="D4" s="283"/>
      <c r="E4" s="283"/>
      <c r="F4" s="283"/>
      <c r="G4" s="222"/>
      <c r="H4" s="261" t="s">
        <v>220</v>
      </c>
      <c r="I4" s="262"/>
      <c r="J4" s="262"/>
      <c r="K4" s="262"/>
      <c r="L4" s="262"/>
      <c r="M4" s="262"/>
      <c r="N4" s="262"/>
      <c r="O4" s="263"/>
      <c r="P4" s="267" t="s">
        <v>27</v>
      </c>
      <c r="Q4" s="268"/>
      <c r="R4" s="268"/>
      <c r="S4" s="269"/>
      <c r="T4" s="273" t="s">
        <v>221</v>
      </c>
      <c r="U4" s="274"/>
      <c r="V4" s="275"/>
      <c r="W4" s="22"/>
    </row>
    <row r="5" spans="2:28" ht="46.5" customHeight="1" thickBot="1" x14ac:dyDescent="0.3">
      <c r="B5" s="284"/>
      <c r="C5" s="285"/>
      <c r="D5" s="285"/>
      <c r="E5" s="285"/>
      <c r="F5" s="285"/>
      <c r="G5" s="286"/>
      <c r="H5" s="264"/>
      <c r="I5" s="265"/>
      <c r="J5" s="265"/>
      <c r="K5" s="265"/>
      <c r="L5" s="265"/>
      <c r="M5" s="265"/>
      <c r="N5" s="265"/>
      <c r="O5" s="266"/>
      <c r="P5" s="270"/>
      <c r="Q5" s="271"/>
      <c r="R5" s="271"/>
      <c r="S5" s="272"/>
      <c r="T5" s="276"/>
      <c r="U5" s="277"/>
      <c r="V5" s="278"/>
      <c r="W5" s="22"/>
    </row>
    <row r="6" spans="2:28" ht="18" customHeight="1" thickBot="1" x14ac:dyDescent="0.3">
      <c r="B6" s="108"/>
      <c r="C6" s="55"/>
      <c r="D6" s="55"/>
      <c r="E6" s="55"/>
      <c r="F6" s="55"/>
      <c r="G6" s="55"/>
      <c r="H6" s="24"/>
      <c r="I6" s="24"/>
      <c r="J6" s="24"/>
      <c r="K6" s="24"/>
      <c r="L6" s="24"/>
      <c r="M6" s="24"/>
      <c r="N6" s="24"/>
      <c r="O6" s="24"/>
      <c r="P6" s="24"/>
      <c r="Q6" s="24"/>
      <c r="R6" s="25"/>
      <c r="S6" s="24"/>
      <c r="T6" s="24"/>
      <c r="U6" s="24"/>
      <c r="V6" s="26"/>
      <c r="W6" s="22"/>
    </row>
    <row r="7" spans="2:28" ht="18.75" thickBot="1" x14ac:dyDescent="0.3">
      <c r="B7" s="106"/>
      <c r="C7" s="56"/>
      <c r="D7" s="56"/>
      <c r="E7" s="56"/>
      <c r="F7" s="56"/>
      <c r="G7" s="56"/>
      <c r="H7" s="56"/>
      <c r="I7" s="56"/>
      <c r="J7" s="56"/>
      <c r="K7" s="56"/>
      <c r="L7" s="56"/>
      <c r="M7" s="56"/>
      <c r="N7" s="56"/>
      <c r="O7" s="56"/>
      <c r="P7" s="56"/>
      <c r="Q7" s="56"/>
      <c r="R7" s="57"/>
      <c r="S7" s="56"/>
      <c r="T7" s="56"/>
      <c r="U7" s="56"/>
      <c r="V7" s="58"/>
      <c r="W7" s="22"/>
    </row>
    <row r="8" spans="2:28" ht="44.25" customHeight="1" thickBot="1" x14ac:dyDescent="0.3">
      <c r="B8" s="10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8" ht="81" customHeight="1" thickBot="1" x14ac:dyDescent="0.55000000000000004">
      <c r="B9" s="107"/>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8" ht="303.75" customHeight="1" thickBot="1" x14ac:dyDescent="0.3">
      <c r="B10" s="107">
        <v>58</v>
      </c>
      <c r="C10" s="226" t="s">
        <v>30</v>
      </c>
      <c r="D10" s="226" t="s">
        <v>38</v>
      </c>
      <c r="E10" s="226"/>
      <c r="F10" s="226"/>
      <c r="G10" s="226"/>
      <c r="H10" s="102" t="s">
        <v>162</v>
      </c>
      <c r="I10" s="102" t="s">
        <v>88</v>
      </c>
      <c r="J10" s="101" t="s">
        <v>69</v>
      </c>
      <c r="K10" s="101" t="s">
        <v>26</v>
      </c>
      <c r="L10" s="181" t="s">
        <v>19</v>
      </c>
      <c r="M10" s="66" t="s">
        <v>227</v>
      </c>
      <c r="N10" s="179">
        <v>0.3</v>
      </c>
      <c r="O10" s="117">
        <f>(23/2)</f>
        <v>11.5</v>
      </c>
      <c r="P10" s="118"/>
      <c r="Q10" s="118"/>
      <c r="R10" s="118"/>
      <c r="S10" s="78">
        <v>0</v>
      </c>
      <c r="T10" s="78" t="s">
        <v>187</v>
      </c>
      <c r="U10" s="91" t="s">
        <v>23</v>
      </c>
      <c r="V10" s="47"/>
      <c r="W10" s="22"/>
      <c r="Y10" s="20" t="s">
        <v>293</v>
      </c>
      <c r="AB10" s="20" t="s">
        <v>294</v>
      </c>
    </row>
    <row r="11" spans="2:28" ht="294" customHeight="1" thickBot="1" x14ac:dyDescent="0.3">
      <c r="B11" s="107">
        <v>59</v>
      </c>
      <c r="C11" s="226"/>
      <c r="D11" s="226"/>
      <c r="E11" s="226"/>
      <c r="F11" s="226"/>
      <c r="G11" s="226"/>
      <c r="H11" s="101" t="s">
        <v>73</v>
      </c>
      <c r="I11" s="102" t="s">
        <v>88</v>
      </c>
      <c r="J11" s="101" t="s">
        <v>69</v>
      </c>
      <c r="K11" s="101" t="s">
        <v>26</v>
      </c>
      <c r="L11" s="181" t="s">
        <v>19</v>
      </c>
      <c r="M11" s="66" t="s">
        <v>77</v>
      </c>
      <c r="N11" s="180">
        <v>0.15</v>
      </c>
      <c r="O11" s="117">
        <f>(755+30)/1080</f>
        <v>0.72685185185185186</v>
      </c>
      <c r="P11" s="303">
        <f>(N11*O11)+(N12*O12)+(N13*O13)+(N14*O14)</f>
        <v>0.64593656156156154</v>
      </c>
      <c r="Q11" s="303"/>
      <c r="R11" s="303"/>
      <c r="S11" s="138">
        <v>820</v>
      </c>
      <c r="T11" s="78">
        <v>1</v>
      </c>
      <c r="U11" s="91" t="s">
        <v>23</v>
      </c>
      <c r="V11" s="46"/>
      <c r="W11" s="22"/>
    </row>
    <row r="12" spans="2:28" ht="307.5" customHeight="1" thickBot="1" x14ac:dyDescent="0.3">
      <c r="B12" s="107">
        <v>60</v>
      </c>
      <c r="C12" s="226"/>
      <c r="D12" s="226"/>
      <c r="E12" s="226"/>
      <c r="F12" s="226"/>
      <c r="G12" s="226"/>
      <c r="H12" s="101" t="s">
        <v>74</v>
      </c>
      <c r="I12" s="102" t="s">
        <v>88</v>
      </c>
      <c r="J12" s="101" t="s">
        <v>69</v>
      </c>
      <c r="K12" s="101" t="s">
        <v>26</v>
      </c>
      <c r="L12" s="181" t="s">
        <v>19</v>
      </c>
      <c r="M12" s="66" t="s">
        <v>271</v>
      </c>
      <c r="N12" s="180">
        <v>0.25</v>
      </c>
      <c r="O12" s="117">
        <f>5/5</f>
        <v>1</v>
      </c>
      <c r="P12" s="304"/>
      <c r="Q12" s="304"/>
      <c r="R12" s="304"/>
      <c r="S12" s="120">
        <v>83</v>
      </c>
      <c r="T12" s="78">
        <v>1</v>
      </c>
      <c r="U12" s="91" t="s">
        <v>23</v>
      </c>
      <c r="V12" s="46"/>
      <c r="W12" s="22"/>
      <c r="X12" s="184" t="s">
        <v>295</v>
      </c>
    </row>
    <row r="13" spans="2:28" ht="287.25" customHeight="1" thickBot="1" x14ac:dyDescent="0.3">
      <c r="B13" s="107">
        <v>61</v>
      </c>
      <c r="C13" s="226"/>
      <c r="D13" s="226"/>
      <c r="E13" s="226"/>
      <c r="F13" s="226"/>
      <c r="G13" s="226"/>
      <c r="H13" s="101" t="s">
        <v>75</v>
      </c>
      <c r="I13" s="102" t="s">
        <v>88</v>
      </c>
      <c r="J13" s="101" t="s">
        <v>76</v>
      </c>
      <c r="K13" s="101" t="s">
        <v>26</v>
      </c>
      <c r="L13" s="181" t="s">
        <v>19</v>
      </c>
      <c r="M13" s="66" t="s">
        <v>272</v>
      </c>
      <c r="N13" s="180">
        <v>0.15</v>
      </c>
      <c r="O13" s="117">
        <f>(25/48)</f>
        <v>0.52083333333333337</v>
      </c>
      <c r="P13" s="304"/>
      <c r="Q13" s="304"/>
      <c r="R13" s="304"/>
      <c r="S13" s="120">
        <v>48</v>
      </c>
      <c r="T13" s="78">
        <v>1</v>
      </c>
      <c r="U13" s="91" t="s">
        <v>23</v>
      </c>
      <c r="V13" s="46"/>
      <c r="W13" s="22"/>
    </row>
    <row r="14" spans="2:28" ht="303.75" customHeight="1" thickBot="1" x14ac:dyDescent="0.3">
      <c r="B14" s="107">
        <v>62</v>
      </c>
      <c r="C14" s="226"/>
      <c r="D14" s="226"/>
      <c r="E14" s="226"/>
      <c r="F14" s="226"/>
      <c r="G14" s="226"/>
      <c r="H14" s="101" t="s">
        <v>273</v>
      </c>
      <c r="I14" s="102" t="s">
        <v>88</v>
      </c>
      <c r="J14" s="101" t="s">
        <v>68</v>
      </c>
      <c r="K14" s="101" t="s">
        <v>26</v>
      </c>
      <c r="L14" s="181" t="s">
        <v>19</v>
      </c>
      <c r="M14" s="66" t="s">
        <v>78</v>
      </c>
      <c r="N14" s="180">
        <v>0.15</v>
      </c>
      <c r="O14" s="117">
        <f>51500/37000</f>
        <v>1.3918918918918919</v>
      </c>
      <c r="P14" s="304"/>
      <c r="Q14" s="304"/>
      <c r="R14" s="304"/>
      <c r="S14" s="120">
        <v>37000</v>
      </c>
      <c r="T14" s="78">
        <v>1</v>
      </c>
      <c r="U14" s="91" t="s">
        <v>23</v>
      </c>
      <c r="V14" s="46"/>
      <c r="W14" s="22"/>
    </row>
    <row r="15" spans="2:28" ht="41.25" customHeight="1" thickBot="1" x14ac:dyDescent="0.3">
      <c r="B15" s="109"/>
      <c r="C15" s="67"/>
      <c r="D15" s="287"/>
      <c r="E15" s="287"/>
      <c r="F15" s="287"/>
      <c r="G15" s="287"/>
      <c r="H15" s="31"/>
      <c r="I15" s="31"/>
      <c r="J15" s="31"/>
      <c r="K15" s="31"/>
      <c r="L15" s="31"/>
      <c r="M15" s="31"/>
      <c r="N15" s="31"/>
      <c r="O15" s="48"/>
      <c r="P15" s="48"/>
      <c r="Q15" s="48"/>
      <c r="R15" s="49"/>
      <c r="S15" s="48"/>
      <c r="T15" s="48"/>
      <c r="U15" s="48"/>
      <c r="V15" s="50"/>
      <c r="W15" s="22"/>
    </row>
    <row r="20" spans="2:23" s="40" customFormat="1" x14ac:dyDescent="0.25">
      <c r="B20" s="41"/>
      <c r="C20" s="20"/>
      <c r="D20" s="20"/>
      <c r="E20" s="20"/>
      <c r="F20" s="20"/>
      <c r="G20" s="20"/>
      <c r="H20" s="20"/>
      <c r="I20" s="20"/>
      <c r="J20" s="20"/>
      <c r="K20" s="20"/>
      <c r="L20" s="20"/>
      <c r="M20" s="20"/>
      <c r="N20" s="34"/>
      <c r="R20" s="51"/>
      <c r="W20" s="20"/>
    </row>
  </sheetData>
  <mergeCells count="23">
    <mergeCell ref="B2:G5"/>
    <mergeCell ref="O8:O9"/>
    <mergeCell ref="H2:O3"/>
    <mergeCell ref="P2:V2"/>
    <mergeCell ref="P3:V3"/>
    <mergeCell ref="H4:O5"/>
    <mergeCell ref="P4:S5"/>
    <mergeCell ref="T4:V5"/>
    <mergeCell ref="C8:C9"/>
    <mergeCell ref="D8:G9"/>
    <mergeCell ref="H8:L8"/>
    <mergeCell ref="M8:M9"/>
    <mergeCell ref="N8:N9"/>
    <mergeCell ref="P8:R9"/>
    <mergeCell ref="S8:S9"/>
    <mergeCell ref="T8:T9"/>
    <mergeCell ref="U8:U9"/>
    <mergeCell ref="V8:V9"/>
    <mergeCell ref="D15:G15"/>
    <mergeCell ref="C10:C14"/>
    <mergeCell ref="D10:G14"/>
    <mergeCell ref="P11:R11"/>
    <mergeCell ref="P12:R14"/>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1:W23"/>
  <sheetViews>
    <sheetView showGridLines="0" topLeftCell="J13" zoomScale="46" zoomScaleNormal="46" workbookViewId="0">
      <selection activeCell="T8" sqref="T8:T9"/>
    </sheetView>
  </sheetViews>
  <sheetFormatPr baseColWidth="10" defaultRowHeight="18" outlineLevelCol="1" x14ac:dyDescent="0.25"/>
  <cols>
    <col min="1" max="1" width="7.85546875" style="20" customWidth="1"/>
    <col min="2" max="2" width="16" style="41" customWidth="1"/>
    <col min="3" max="3" width="45.140625" style="20" customWidth="1"/>
    <col min="4" max="7" width="18.28515625" style="20" customWidth="1"/>
    <col min="8" max="8" width="122.85546875" style="20" customWidth="1"/>
    <col min="9" max="9" width="53.28515625" style="20" customWidth="1"/>
    <col min="10" max="10" width="69.5703125" style="20" bestFit="1" customWidth="1"/>
    <col min="11" max="11" width="56" style="20" bestFit="1" customWidth="1"/>
    <col min="12" max="12" width="65.140625" style="20" customWidth="1"/>
    <col min="13" max="13" width="104" style="20" customWidth="1"/>
    <col min="14" max="14" width="43.85546875" style="20" customWidth="1" outlineLevel="1"/>
    <col min="15" max="15" width="43.5703125" style="40" customWidth="1" outlineLevel="1"/>
    <col min="16" max="17" width="49" style="40" hidden="1" customWidth="1"/>
    <col min="18" max="18" width="1" style="51" hidden="1" customWidth="1"/>
    <col min="19" max="21" width="43.85546875" style="40" customWidth="1"/>
    <col min="22" max="22" width="5.85546875" style="40" customWidth="1"/>
    <col min="23" max="16384" width="11.42578125" style="20"/>
  </cols>
  <sheetData>
    <row r="1" spans="2:23" ht="18.75" thickBot="1" x14ac:dyDescent="0.3">
      <c r="O1" s="20"/>
      <c r="P1" s="20"/>
      <c r="Q1" s="20"/>
      <c r="R1" s="21"/>
      <c r="S1" s="20"/>
      <c r="T1" s="20"/>
      <c r="U1" s="20"/>
      <c r="V1" s="20"/>
    </row>
    <row r="2" spans="2:23" ht="27" thickBot="1" x14ac:dyDescent="0.3">
      <c r="B2" s="279"/>
      <c r="C2" s="280"/>
      <c r="D2" s="280"/>
      <c r="E2" s="280"/>
      <c r="F2" s="280"/>
      <c r="G2" s="281"/>
      <c r="H2" s="261" t="s">
        <v>7</v>
      </c>
      <c r="I2" s="262"/>
      <c r="J2" s="262"/>
      <c r="K2" s="262"/>
      <c r="L2" s="262"/>
      <c r="M2" s="262"/>
      <c r="N2" s="262"/>
      <c r="O2" s="263"/>
      <c r="P2" s="258" t="s">
        <v>222</v>
      </c>
      <c r="Q2" s="259"/>
      <c r="R2" s="259"/>
      <c r="S2" s="259"/>
      <c r="T2" s="259"/>
      <c r="U2" s="259"/>
      <c r="V2" s="260"/>
      <c r="W2" s="22"/>
    </row>
    <row r="3" spans="2:23" ht="54.75" customHeight="1" thickBot="1" x14ac:dyDescent="0.3">
      <c r="B3" s="282"/>
      <c r="C3" s="283"/>
      <c r="D3" s="283"/>
      <c r="E3" s="283"/>
      <c r="F3" s="283"/>
      <c r="G3" s="222"/>
      <c r="H3" s="264"/>
      <c r="I3" s="265"/>
      <c r="J3" s="265"/>
      <c r="K3" s="265"/>
      <c r="L3" s="265"/>
      <c r="M3" s="265"/>
      <c r="N3" s="265"/>
      <c r="O3" s="266"/>
      <c r="P3" s="258" t="s">
        <v>223</v>
      </c>
      <c r="Q3" s="259"/>
      <c r="R3" s="259"/>
      <c r="S3" s="259"/>
      <c r="T3" s="259"/>
      <c r="U3" s="259"/>
      <c r="V3" s="260"/>
      <c r="W3" s="23"/>
    </row>
    <row r="4" spans="2:23" ht="30.75" customHeight="1" x14ac:dyDescent="0.25">
      <c r="B4" s="282"/>
      <c r="C4" s="283"/>
      <c r="D4" s="283"/>
      <c r="E4" s="283"/>
      <c r="F4" s="283"/>
      <c r="G4" s="222"/>
      <c r="H4" s="261" t="s">
        <v>220</v>
      </c>
      <c r="I4" s="262"/>
      <c r="J4" s="262"/>
      <c r="K4" s="262"/>
      <c r="L4" s="262"/>
      <c r="M4" s="262"/>
      <c r="N4" s="262"/>
      <c r="O4" s="263"/>
      <c r="P4" s="267" t="s">
        <v>27</v>
      </c>
      <c r="Q4" s="268"/>
      <c r="R4" s="268"/>
      <c r="S4" s="269"/>
      <c r="T4" s="273" t="s">
        <v>221</v>
      </c>
      <c r="U4" s="274"/>
      <c r="V4" s="275"/>
      <c r="W4" s="22"/>
    </row>
    <row r="5" spans="2:23" ht="46.5" customHeight="1" thickBot="1" x14ac:dyDescent="0.3">
      <c r="B5" s="284"/>
      <c r="C5" s="285"/>
      <c r="D5" s="285"/>
      <c r="E5" s="285"/>
      <c r="F5" s="285"/>
      <c r="G5" s="286"/>
      <c r="H5" s="264"/>
      <c r="I5" s="265"/>
      <c r="J5" s="265"/>
      <c r="K5" s="265"/>
      <c r="L5" s="265"/>
      <c r="M5" s="265"/>
      <c r="N5" s="265"/>
      <c r="O5" s="266"/>
      <c r="P5" s="270"/>
      <c r="Q5" s="271"/>
      <c r="R5" s="271"/>
      <c r="S5" s="272"/>
      <c r="T5" s="276"/>
      <c r="U5" s="277"/>
      <c r="V5" s="278"/>
      <c r="W5" s="22"/>
    </row>
    <row r="6" spans="2:23" ht="19.5" customHeight="1" thickBot="1" x14ac:dyDescent="0.3">
      <c r="B6" s="108"/>
      <c r="C6" s="55"/>
      <c r="D6" s="55"/>
      <c r="E6" s="55"/>
      <c r="F6" s="55"/>
      <c r="G6" s="55"/>
      <c r="H6" s="24"/>
      <c r="I6" s="24"/>
      <c r="J6" s="24"/>
      <c r="K6" s="24"/>
      <c r="L6" s="24"/>
      <c r="M6" s="24"/>
      <c r="N6" s="24"/>
      <c r="O6" s="24"/>
      <c r="P6" s="24"/>
      <c r="Q6" s="24"/>
      <c r="R6" s="25"/>
      <c r="S6" s="24"/>
      <c r="T6" s="24"/>
      <c r="U6" s="24"/>
      <c r="V6" s="26"/>
      <c r="W6" s="22"/>
    </row>
    <row r="7" spans="2:23" ht="16.5" customHeight="1" thickBot="1" x14ac:dyDescent="0.3">
      <c r="B7" s="106"/>
      <c r="C7" s="56"/>
      <c r="D7" s="56"/>
      <c r="E7" s="56"/>
      <c r="F7" s="56"/>
      <c r="G7" s="56"/>
      <c r="H7" s="56"/>
      <c r="I7" s="56"/>
      <c r="J7" s="56"/>
      <c r="K7" s="56"/>
      <c r="L7" s="56"/>
      <c r="M7" s="56"/>
      <c r="N7" s="56"/>
      <c r="O7" s="56"/>
      <c r="P7" s="56"/>
      <c r="Q7" s="56"/>
      <c r="R7" s="57"/>
      <c r="S7" s="56"/>
      <c r="T7" s="56"/>
      <c r="U7" s="56"/>
      <c r="V7" s="58"/>
      <c r="W7" s="22"/>
    </row>
    <row r="8" spans="2:23" ht="42.75" customHeight="1" thickBot="1" x14ac:dyDescent="0.3">
      <c r="B8" s="107"/>
      <c r="C8" s="225" t="s">
        <v>6</v>
      </c>
      <c r="D8" s="225" t="s">
        <v>50</v>
      </c>
      <c r="E8" s="225"/>
      <c r="F8" s="225"/>
      <c r="G8" s="225"/>
      <c r="H8" s="225" t="s">
        <v>252</v>
      </c>
      <c r="I8" s="225"/>
      <c r="J8" s="225"/>
      <c r="K8" s="225"/>
      <c r="L8" s="225"/>
      <c r="M8" s="225" t="s">
        <v>0</v>
      </c>
      <c r="N8" s="225" t="s">
        <v>21</v>
      </c>
      <c r="O8" s="225" t="s">
        <v>22</v>
      </c>
      <c r="P8" s="225" t="s">
        <v>5</v>
      </c>
      <c r="Q8" s="225"/>
      <c r="R8" s="225"/>
      <c r="S8" s="225" t="s">
        <v>20</v>
      </c>
      <c r="T8" s="225" t="s">
        <v>4</v>
      </c>
      <c r="U8" s="221" t="s">
        <v>1</v>
      </c>
      <c r="V8" s="222"/>
      <c r="W8" s="22"/>
    </row>
    <row r="9" spans="2:23" ht="68.25" thickBot="1" x14ac:dyDescent="0.55000000000000004">
      <c r="B9" s="107"/>
      <c r="C9" s="225"/>
      <c r="D9" s="225"/>
      <c r="E9" s="225"/>
      <c r="F9" s="225"/>
      <c r="G9" s="225"/>
      <c r="H9" s="103" t="s">
        <v>247</v>
      </c>
      <c r="I9" s="42" t="s">
        <v>248</v>
      </c>
      <c r="J9" s="42" t="s">
        <v>249</v>
      </c>
      <c r="K9" s="42" t="s">
        <v>250</v>
      </c>
      <c r="L9" s="42" t="s">
        <v>251</v>
      </c>
      <c r="M9" s="225"/>
      <c r="N9" s="225"/>
      <c r="O9" s="225"/>
      <c r="P9" s="225"/>
      <c r="Q9" s="225"/>
      <c r="R9" s="225"/>
      <c r="S9" s="225"/>
      <c r="T9" s="225"/>
      <c r="U9" s="221"/>
      <c r="V9" s="222"/>
      <c r="W9" s="22"/>
    </row>
    <row r="10" spans="2:23" ht="144" customHeight="1" thickBot="1" x14ac:dyDescent="0.3">
      <c r="B10" s="107">
        <v>63</v>
      </c>
      <c r="C10" s="226" t="s">
        <v>30</v>
      </c>
      <c r="D10" s="226" t="s">
        <v>39</v>
      </c>
      <c r="E10" s="226"/>
      <c r="F10" s="226"/>
      <c r="G10" s="226"/>
      <c r="H10" s="226" t="s">
        <v>170</v>
      </c>
      <c r="I10" s="223" t="s">
        <v>255</v>
      </c>
      <c r="J10" s="101" t="s">
        <v>164</v>
      </c>
      <c r="K10" s="101" t="s">
        <v>26</v>
      </c>
      <c r="L10" s="68" t="s">
        <v>19</v>
      </c>
      <c r="M10" s="73" t="s">
        <v>165</v>
      </c>
      <c r="N10" s="180">
        <v>7.6899999999999996E-2</v>
      </c>
      <c r="O10" s="117">
        <f>35/30</f>
        <v>1.1666666666666667</v>
      </c>
      <c r="P10" s="75" t="e">
        <f>(N10*O10)+(N11*O11)+(N12*O12)+(#REF!*#REF!)+(#REF!)+(#REF!)+(N13*O13)+(N14*O14)+(N15*O15)+(N16*O16)+(N17*O17)</f>
        <v>#REF!</v>
      </c>
      <c r="Q10" s="76"/>
      <c r="R10" s="77"/>
      <c r="S10" s="76">
        <v>0.625</v>
      </c>
      <c r="T10" s="76" t="s">
        <v>167</v>
      </c>
      <c r="U10" s="91" t="s">
        <v>23</v>
      </c>
      <c r="V10" s="46"/>
      <c r="W10" s="22"/>
    </row>
    <row r="11" spans="2:23" ht="144" customHeight="1" thickBot="1" x14ac:dyDescent="0.3">
      <c r="B11" s="107">
        <v>64</v>
      </c>
      <c r="C11" s="226"/>
      <c r="D11" s="226"/>
      <c r="E11" s="226"/>
      <c r="F11" s="226"/>
      <c r="G11" s="226"/>
      <c r="H11" s="226"/>
      <c r="I11" s="223"/>
      <c r="J11" s="101" t="s">
        <v>164</v>
      </c>
      <c r="K11" s="101" t="s">
        <v>26</v>
      </c>
      <c r="L11" s="68" t="s">
        <v>19</v>
      </c>
      <c r="M11" s="73" t="s">
        <v>166</v>
      </c>
      <c r="N11" s="180">
        <v>7.6899999999999996E-2</v>
      </c>
      <c r="O11" s="117">
        <v>1.0289473684210499</v>
      </c>
      <c r="P11" s="76"/>
      <c r="Q11" s="76"/>
      <c r="R11" s="76"/>
      <c r="S11" s="76">
        <v>0.81</v>
      </c>
      <c r="T11" s="76" t="s">
        <v>168</v>
      </c>
      <c r="U11" s="91" t="s">
        <v>23</v>
      </c>
      <c r="V11" s="46"/>
      <c r="W11" s="22"/>
    </row>
    <row r="12" spans="2:23" ht="144" customHeight="1" thickBot="1" x14ac:dyDescent="0.3">
      <c r="B12" s="107">
        <v>65</v>
      </c>
      <c r="C12" s="226"/>
      <c r="D12" s="226"/>
      <c r="E12" s="226"/>
      <c r="F12" s="226"/>
      <c r="G12" s="226"/>
      <c r="H12" s="226"/>
      <c r="I12" s="223"/>
      <c r="J12" s="101" t="s">
        <v>138</v>
      </c>
      <c r="K12" s="101" t="s">
        <v>26</v>
      </c>
      <c r="L12" s="68" t="s">
        <v>19</v>
      </c>
      <c r="M12" s="101" t="s">
        <v>241</v>
      </c>
      <c r="N12" s="180">
        <v>7.6899999999999996E-2</v>
      </c>
      <c r="O12" s="78">
        <v>7.5170068027210898E-3</v>
      </c>
      <c r="P12" s="98"/>
      <c r="Q12" s="99"/>
      <c r="R12" s="99"/>
      <c r="S12" s="75">
        <v>0.46</v>
      </c>
      <c r="T12" s="78">
        <v>0.95</v>
      </c>
      <c r="U12" s="91" t="s">
        <v>25</v>
      </c>
      <c r="V12" s="46"/>
      <c r="W12" s="22"/>
    </row>
    <row r="13" spans="2:23" ht="168.75" customHeight="1" thickBot="1" x14ac:dyDescent="0.3">
      <c r="B13" s="107">
        <v>69</v>
      </c>
      <c r="C13" s="226"/>
      <c r="D13" s="226"/>
      <c r="E13" s="226"/>
      <c r="F13" s="226"/>
      <c r="G13" s="226"/>
      <c r="H13" s="226" t="s">
        <v>95</v>
      </c>
      <c r="I13" s="223" t="s">
        <v>91</v>
      </c>
      <c r="J13" s="226" t="s">
        <v>164</v>
      </c>
      <c r="K13" s="226" t="s">
        <v>26</v>
      </c>
      <c r="L13" s="68" t="s">
        <v>92</v>
      </c>
      <c r="M13" s="79" t="s">
        <v>93</v>
      </c>
      <c r="N13" s="180">
        <v>0.14000000000000001</v>
      </c>
      <c r="O13" s="80">
        <f>2659200/3114688</f>
        <v>0.85376127560770132</v>
      </c>
      <c r="P13" s="305"/>
      <c r="Q13" s="305"/>
      <c r="R13" s="305"/>
      <c r="S13" s="78" t="s">
        <v>274</v>
      </c>
      <c r="T13" s="78">
        <v>1</v>
      </c>
      <c r="U13" s="91" t="s">
        <v>23</v>
      </c>
      <c r="V13" s="46"/>
      <c r="W13" s="22"/>
    </row>
    <row r="14" spans="2:23" ht="212.25" customHeight="1" thickBot="1" x14ac:dyDescent="0.3">
      <c r="B14" s="107">
        <v>70</v>
      </c>
      <c r="C14" s="226"/>
      <c r="D14" s="226"/>
      <c r="E14" s="226"/>
      <c r="F14" s="226"/>
      <c r="G14" s="226"/>
      <c r="H14" s="226"/>
      <c r="I14" s="223"/>
      <c r="J14" s="226"/>
      <c r="K14" s="226"/>
      <c r="L14" s="136" t="s">
        <v>92</v>
      </c>
      <c r="M14" s="79" t="s">
        <v>235</v>
      </c>
      <c r="N14" s="180">
        <v>7.6899999999999996E-2</v>
      </c>
      <c r="O14" s="80">
        <f>(47628/52680)*(2659200/3114688)</f>
        <v>0.77188576375557316</v>
      </c>
      <c r="P14" s="105"/>
      <c r="Q14" s="105"/>
      <c r="R14" s="105"/>
      <c r="S14" s="78" t="s">
        <v>274</v>
      </c>
      <c r="T14" s="78">
        <v>1</v>
      </c>
      <c r="U14" s="91" t="s">
        <v>23</v>
      </c>
      <c r="V14" s="46"/>
      <c r="W14" s="22"/>
    </row>
    <row r="15" spans="2:23" ht="152.25" customHeight="1" thickBot="1" x14ac:dyDescent="0.3">
      <c r="B15" s="107">
        <v>71</v>
      </c>
      <c r="C15" s="226"/>
      <c r="D15" s="226"/>
      <c r="E15" s="226"/>
      <c r="F15" s="226"/>
      <c r="G15" s="226"/>
      <c r="H15" s="226"/>
      <c r="I15" s="223"/>
      <c r="J15" s="226"/>
      <c r="K15" s="226"/>
      <c r="L15" s="136" t="s">
        <v>92</v>
      </c>
      <c r="M15" s="79"/>
      <c r="N15" s="180">
        <v>7.6899999999999996E-2</v>
      </c>
      <c r="O15" s="80">
        <f>(2659200/(27583*20))/(3114688/(32730*20))</f>
        <v>1.0130735072559209</v>
      </c>
      <c r="P15" s="105"/>
      <c r="Q15" s="105"/>
      <c r="R15" s="105"/>
      <c r="S15" s="78">
        <v>0</v>
      </c>
      <c r="T15" s="78">
        <v>0.9</v>
      </c>
      <c r="U15" s="91" t="s">
        <v>23</v>
      </c>
      <c r="V15" s="46"/>
      <c r="W15" s="22"/>
    </row>
    <row r="16" spans="2:23" ht="202.5" customHeight="1" thickBot="1" x14ac:dyDescent="0.3">
      <c r="B16" s="107">
        <v>72</v>
      </c>
      <c r="C16" s="226"/>
      <c r="D16" s="226"/>
      <c r="E16" s="226"/>
      <c r="F16" s="226"/>
      <c r="G16" s="226"/>
      <c r="H16" s="226" t="s">
        <v>96</v>
      </c>
      <c r="I16" s="223"/>
      <c r="J16" s="226"/>
      <c r="K16" s="226"/>
      <c r="L16" s="136" t="s">
        <v>92</v>
      </c>
      <c r="M16" s="79" t="s">
        <v>94</v>
      </c>
      <c r="N16" s="180">
        <v>7.6899999999999996E-2</v>
      </c>
      <c r="O16" s="80">
        <f>(52680-(5052+1320))/52680</f>
        <v>0.87904328018223232</v>
      </c>
      <c r="P16" s="81"/>
      <c r="Q16" s="81"/>
      <c r="R16" s="82"/>
      <c r="S16" s="78" t="s">
        <v>274</v>
      </c>
      <c r="T16" s="78">
        <v>0.9</v>
      </c>
      <c r="U16" s="91" t="s">
        <v>23</v>
      </c>
      <c r="V16" s="46"/>
      <c r="W16" s="22"/>
    </row>
    <row r="17" spans="2:23" ht="194.25" customHeight="1" thickBot="1" x14ac:dyDescent="0.3">
      <c r="B17" s="107">
        <v>73</v>
      </c>
      <c r="C17" s="226"/>
      <c r="D17" s="226"/>
      <c r="E17" s="226"/>
      <c r="F17" s="226"/>
      <c r="G17" s="226"/>
      <c r="H17" s="226"/>
      <c r="I17" s="223"/>
      <c r="J17" s="226"/>
      <c r="K17" s="226"/>
      <c r="L17" s="136" t="s">
        <v>92</v>
      </c>
      <c r="M17" s="79" t="s">
        <v>94</v>
      </c>
      <c r="N17" s="180">
        <v>7.6899999999999996E-2</v>
      </c>
      <c r="O17" s="206">
        <f>(21*8.5)/698</f>
        <v>0.25573065902578795</v>
      </c>
      <c r="P17" s="83"/>
      <c r="Q17" s="83"/>
      <c r="R17" s="82"/>
      <c r="S17" s="78" t="s">
        <v>274</v>
      </c>
      <c r="T17" s="78">
        <v>0.9</v>
      </c>
      <c r="U17" s="91" t="s">
        <v>24</v>
      </c>
      <c r="V17" s="46"/>
      <c r="W17" s="22"/>
    </row>
    <row r="18" spans="2:23" ht="41.25" customHeight="1" thickBot="1" x14ac:dyDescent="0.3">
      <c r="B18" s="109"/>
      <c r="C18" s="67"/>
      <c r="D18" s="287"/>
      <c r="E18" s="287"/>
      <c r="F18" s="287"/>
      <c r="G18" s="287"/>
      <c r="H18" s="31"/>
      <c r="I18" s="31"/>
      <c r="J18" s="31"/>
      <c r="K18" s="31"/>
      <c r="L18" s="31"/>
      <c r="M18" s="31"/>
      <c r="N18" s="31"/>
      <c r="O18" s="48"/>
      <c r="P18" s="48"/>
      <c r="Q18" s="48"/>
      <c r="R18" s="49"/>
      <c r="S18" s="48"/>
      <c r="T18" s="48"/>
      <c r="U18" s="48"/>
      <c r="V18" s="50"/>
      <c r="W18" s="22"/>
    </row>
    <row r="23" spans="2:23" s="40" customFormat="1" x14ac:dyDescent="0.25">
      <c r="B23" s="41"/>
      <c r="C23" s="20"/>
      <c r="D23" s="20"/>
      <c r="E23" s="20"/>
      <c r="F23" s="20"/>
      <c r="G23" s="20"/>
      <c r="H23" s="20"/>
      <c r="I23" s="20"/>
      <c r="J23" s="20"/>
      <c r="K23" s="20"/>
      <c r="L23" s="20"/>
      <c r="M23" s="20"/>
      <c r="N23" s="34"/>
      <c r="R23" s="51"/>
      <c r="W23" s="20"/>
    </row>
  </sheetData>
  <mergeCells count="29">
    <mergeCell ref="B2:G5"/>
    <mergeCell ref="O8:O9"/>
    <mergeCell ref="H2:O3"/>
    <mergeCell ref="P2:V2"/>
    <mergeCell ref="P3:V3"/>
    <mergeCell ref="H4:O5"/>
    <mergeCell ref="P4:S5"/>
    <mergeCell ref="T4:V5"/>
    <mergeCell ref="C8:C9"/>
    <mergeCell ref="D8:G9"/>
    <mergeCell ref="H8:L8"/>
    <mergeCell ref="M8:M9"/>
    <mergeCell ref="N8:N9"/>
    <mergeCell ref="P8:R9"/>
    <mergeCell ref="S8:S9"/>
    <mergeCell ref="T8:T9"/>
    <mergeCell ref="U8:U9"/>
    <mergeCell ref="V8:V9"/>
    <mergeCell ref="P13:R13"/>
    <mergeCell ref="H16:H17"/>
    <mergeCell ref="C10:C17"/>
    <mergeCell ref="D10:G17"/>
    <mergeCell ref="H10:H12"/>
    <mergeCell ref="I10:I12"/>
    <mergeCell ref="D18:G18"/>
    <mergeCell ref="H13:H15"/>
    <mergeCell ref="I13:I17"/>
    <mergeCell ref="J13:J17"/>
    <mergeCell ref="K13:K17"/>
  </mergeCells>
  <pageMargins left="0.70866141732283472" right="0.70866141732283472" top="0.74803149606299213" bottom="0.74803149606299213" header="0.31496062992125984" footer="0.31496062992125984"/>
  <pageSetup scale="25"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'LISTA DESPLEGABLE'!$B$3:$B$5</xm:f>
          </x14:formula1>
          <xm:sqref>U10:U17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vt:i4>
      </vt:variant>
    </vt:vector>
  </HeadingPairs>
  <TitlesOfParts>
    <vt:vector size="29" baseType="lpstr">
      <vt:lpstr>LISTA DESPLEGABLE</vt:lpstr>
      <vt:lpstr>INSTRUCTIVO</vt:lpstr>
      <vt:lpstr>SISTEMA INTEGRADO DE GESTIÓN</vt:lpstr>
      <vt:lpstr>CONTROL DE CALIDAD</vt:lpstr>
      <vt:lpstr>GESTIÓN COMERCIAL </vt:lpstr>
      <vt:lpstr>GESTIÓN FINANCIERA</vt:lpstr>
      <vt:lpstr>TALENTO HUMANO</vt:lpstr>
      <vt:lpstr>COMUNICACIONES INSTITUCIONALES </vt:lpstr>
      <vt:lpstr>GESTIÓN DE PRODUCCIÓN</vt:lpstr>
      <vt:lpstr>GESTIÓN JURIDICA</vt:lpstr>
      <vt:lpstr>GESTIÓN TIC</vt:lpstr>
      <vt:lpstr>INNOVACIÓN Y DESARROLLO </vt:lpstr>
      <vt:lpstr>GESTIÓN AMBIENTAL</vt:lpstr>
      <vt:lpstr>TODA LA BASE </vt:lpstr>
      <vt:lpstr>REVISIÓN POR LA DIRECCIÓN TTRAL</vt:lpstr>
      <vt:lpstr>Hoja1</vt:lpstr>
      <vt:lpstr>REPORTE CONSOLIDADO</vt:lpstr>
      <vt:lpstr>'COMUNICACIONES INSTITUCIONALES '!Área_de_impresión</vt:lpstr>
      <vt:lpstr>'CONTROL DE CALIDAD'!Área_de_impresión</vt:lpstr>
      <vt:lpstr>'GESTIÓN AMBIENTAL'!Área_de_impresión</vt:lpstr>
      <vt:lpstr>'GESTIÓN COMERCIAL '!Área_de_impresión</vt:lpstr>
      <vt:lpstr>'GESTIÓN DE PRODUCCIÓN'!Área_de_impresión</vt:lpstr>
      <vt:lpstr>'GESTIÓN FINANCIERA'!Área_de_impresión</vt:lpstr>
      <vt:lpstr>'GESTIÓN JURIDICA'!Área_de_impresión</vt:lpstr>
      <vt:lpstr>'GESTIÓN TIC'!Área_de_impresión</vt:lpstr>
      <vt:lpstr>'INNOVACIÓN Y DESARROLLO '!Área_de_impresión</vt:lpstr>
      <vt:lpstr>'SISTEMA INTEGRADO DE GESTIÓN'!Área_de_impresión</vt:lpstr>
      <vt:lpstr>'TALENTO HUMANO'!Área_de_impresión</vt:lpstr>
      <vt:lpstr>'TODA LA BASE '!Área_de_impresión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Alessandra Blanco Bernal</dc:creator>
  <cp:lastModifiedBy>Victoria Alejandra Navarrete Coca</cp:lastModifiedBy>
  <cp:lastPrinted>2021-02-16T19:55:11Z</cp:lastPrinted>
  <dcterms:created xsi:type="dcterms:W3CDTF">2018-08-17T16:11:20Z</dcterms:created>
  <dcterms:modified xsi:type="dcterms:W3CDTF">2021-11-03T20:53:21Z</dcterms:modified>
</cp:coreProperties>
</file>