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NEACION\SIG\MATRIZ INDICADORES 2020\"/>
    </mc:Choice>
  </mc:AlternateContent>
  <bookViews>
    <workbookView xWindow="0" yWindow="0" windowWidth="28800" windowHeight="12435"/>
  </bookViews>
  <sheets>
    <sheet name="MIP" sheetId="1" r:id="rId1"/>
    <sheet name="INFORMACIÓN ADICIONAL" sheetId="2" r:id="rId2"/>
    <sheet name="PROMEDIO CONSUMO DE AGUA" sheetId="3" r:id="rId3"/>
    <sheet name="INFORMACIÓN ADICIONAL CI" sheetId="5" r:id="rId4"/>
    <sheet name="Hoja2" sheetId="4" r:id="rId5"/>
  </sheets>
  <externalReferences>
    <externalReference r:id="rId6"/>
    <externalReference r:id="rId7"/>
    <externalReference r:id="rId8"/>
  </externalReferences>
  <definedNames>
    <definedName name="_xlnm._FilterDatabase" localSheetId="0" hidden="1">MIP!$A$4:$AU$103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 l="1"/>
  <c r="R11" i="1"/>
  <c r="P11" i="1"/>
  <c r="T5" i="1" l="1"/>
  <c r="R5" i="1"/>
  <c r="P5" i="1"/>
  <c r="T100" i="1"/>
  <c r="R100" i="1"/>
  <c r="P100" i="1"/>
  <c r="T86" i="1"/>
  <c r="R86" i="1"/>
  <c r="P86" i="1"/>
  <c r="T78" i="1"/>
  <c r="R78" i="1"/>
  <c r="P78" i="1"/>
  <c r="T61" i="1"/>
  <c r="R61" i="1"/>
  <c r="P61" i="1"/>
  <c r="T53" i="1"/>
  <c r="R53" i="1"/>
  <c r="P53" i="1"/>
  <c r="T50" i="1"/>
  <c r="R50" i="1"/>
  <c r="P50" i="1"/>
  <c r="T28" i="1"/>
  <c r="R28" i="1"/>
  <c r="P28" i="1"/>
  <c r="T21" i="1"/>
  <c r="R21" i="1"/>
  <c r="P21" i="1"/>
  <c r="P6" i="1"/>
  <c r="R6" i="1"/>
  <c r="T6" i="1"/>
  <c r="P8" i="1"/>
  <c r="T9" i="1"/>
  <c r="P10" i="1"/>
  <c r="R10" i="1"/>
  <c r="T10" i="1"/>
  <c r="T85" i="1" l="1"/>
  <c r="R85" i="1"/>
  <c r="P85" i="1"/>
  <c r="T84" i="1"/>
  <c r="R84" i="1"/>
  <c r="P84" i="1"/>
  <c r="T83" i="1"/>
  <c r="R83" i="1"/>
  <c r="P83" i="1"/>
  <c r="T82" i="1"/>
  <c r="R82" i="1"/>
  <c r="P82" i="1"/>
  <c r="T81" i="1" l="1"/>
  <c r="R81" i="1"/>
  <c r="P81" i="1"/>
  <c r="T75" i="1" l="1"/>
  <c r="D11" i="5"/>
  <c r="T74" i="1"/>
  <c r="R74" i="1"/>
  <c r="P74" i="1"/>
  <c r="E7" i="5"/>
  <c r="D7" i="5"/>
  <c r="E6" i="5"/>
  <c r="D6" i="5"/>
  <c r="E5" i="5"/>
  <c r="D5" i="5"/>
  <c r="T70" i="1" l="1"/>
  <c r="R70" i="1"/>
  <c r="P70" i="1"/>
  <c r="T69" i="1"/>
  <c r="R69" i="1"/>
  <c r="P69" i="1"/>
  <c r="T68" i="1" l="1"/>
  <c r="R68" i="1"/>
  <c r="P68" i="1"/>
  <c r="T67" i="1" l="1"/>
  <c r="R67" i="1"/>
  <c r="P67" i="1"/>
  <c r="T66" i="1"/>
  <c r="R66" i="1"/>
  <c r="P66" i="1"/>
  <c r="T65" i="1"/>
  <c r="R65" i="1"/>
  <c r="P65" i="1"/>
  <c r="T64" i="1"/>
  <c r="R64" i="1"/>
  <c r="P64" i="1"/>
  <c r="T63" i="1"/>
  <c r="R63" i="1"/>
  <c r="P63" i="1"/>
  <c r="T62" i="1"/>
  <c r="R62" i="1"/>
  <c r="P62" i="1"/>
  <c r="T59" i="1" l="1"/>
  <c r="T57" i="1"/>
  <c r="R57" i="1"/>
  <c r="P57" i="1"/>
  <c r="T56" i="1"/>
  <c r="R56" i="1"/>
  <c r="P56" i="1"/>
  <c r="T55" i="1"/>
  <c r="T54" i="1"/>
  <c r="Z52" i="1" l="1"/>
  <c r="X52" i="1"/>
  <c r="V52" i="1"/>
  <c r="T52" i="1"/>
  <c r="R52" i="1"/>
  <c r="P52" i="1"/>
  <c r="Z51" i="1"/>
  <c r="X51" i="1"/>
  <c r="V51" i="1"/>
  <c r="T51" i="1"/>
  <c r="R51" i="1"/>
  <c r="P51" i="1"/>
  <c r="T47" i="1"/>
  <c r="R47" i="1"/>
  <c r="P47" i="1"/>
  <c r="T46" i="1"/>
  <c r="T45" i="1"/>
  <c r="T42" i="1"/>
  <c r="T41" i="1"/>
  <c r="T40" i="1"/>
  <c r="T38" i="1"/>
  <c r="R38" i="1"/>
  <c r="P38" i="1"/>
  <c r="R37" i="1"/>
  <c r="P37" i="1"/>
  <c r="T36" i="1" l="1"/>
  <c r="R36" i="1"/>
  <c r="P36" i="1"/>
  <c r="T35" i="1"/>
  <c r="R35" i="1"/>
  <c r="P35" i="1"/>
  <c r="T34" i="1"/>
  <c r="R34" i="1"/>
  <c r="P34" i="1"/>
  <c r="T33" i="1"/>
  <c r="R33" i="1"/>
  <c r="P33" i="1"/>
  <c r="T32" i="1"/>
  <c r="R32" i="1"/>
  <c r="P32" i="1"/>
  <c r="T31" i="1"/>
  <c r="R31" i="1"/>
  <c r="P31" i="1"/>
  <c r="T30" i="1"/>
  <c r="T29" i="1"/>
  <c r="T27" i="1" l="1"/>
  <c r="T25" i="1"/>
  <c r="R25" i="1"/>
  <c r="P25" i="1"/>
  <c r="T24" i="1"/>
  <c r="R24" i="1"/>
  <c r="P24" i="1"/>
  <c r="T23" i="1"/>
  <c r="R23" i="1"/>
  <c r="P23" i="1"/>
  <c r="T22" i="1"/>
  <c r="R22" i="1"/>
  <c r="P22" i="1"/>
  <c r="AT5" i="1" l="1"/>
  <c r="AT6" i="1"/>
  <c r="AT7" i="1"/>
  <c r="AT8" i="1"/>
  <c r="AT9" i="1"/>
  <c r="AT10" i="1"/>
  <c r="AT11"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5" i="1"/>
  <c r="AT66" i="1"/>
  <c r="AT67" i="1"/>
  <c r="AT68" i="1"/>
  <c r="AT69" i="1"/>
  <c r="AT70" i="1"/>
  <c r="AT72" i="1"/>
  <c r="AT73" i="1"/>
  <c r="AT75" i="1"/>
  <c r="AT76" i="1"/>
  <c r="AT77" i="1"/>
  <c r="AT78" i="1"/>
  <c r="AT79" i="1"/>
  <c r="AT80" i="1"/>
  <c r="AT81" i="1"/>
  <c r="AT82" i="1"/>
  <c r="AT83" i="1"/>
  <c r="AT84" i="1"/>
  <c r="AT85" i="1"/>
  <c r="AT86" i="1"/>
  <c r="AT88" i="1"/>
  <c r="AT89" i="1"/>
  <c r="AT90" i="1"/>
  <c r="AT91" i="1"/>
  <c r="AT92" i="1"/>
  <c r="AT94" i="1"/>
  <c r="AT96" i="1"/>
  <c r="AT98" i="1"/>
  <c r="AT99" i="1"/>
  <c r="AT100" i="1"/>
  <c r="AT101" i="1"/>
  <c r="AT102" i="1"/>
  <c r="AT103" i="1"/>
  <c r="X14" i="2" l="1"/>
  <c r="X15" i="2"/>
  <c r="X16" i="2"/>
  <c r="Q17" i="2"/>
  <c r="R8" i="2"/>
  <c r="R9" i="2"/>
  <c r="R10" i="2"/>
  <c r="R11" i="2"/>
  <c r="R12" i="2"/>
  <c r="R13" i="2"/>
  <c r="R14" i="2"/>
  <c r="R15" i="2"/>
  <c r="R16" i="2"/>
  <c r="K17" i="2"/>
  <c r="L16" i="2"/>
  <c r="L15" i="2"/>
  <c r="L14" i="2"/>
  <c r="B13" i="3" l="1"/>
  <c r="B12" i="3"/>
  <c r="B11" i="3"/>
  <c r="F16" i="2" l="1"/>
  <c r="F15" i="2"/>
  <c r="F14" i="2"/>
  <c r="V13" i="2"/>
  <c r="L13" i="2"/>
  <c r="F13" i="2"/>
  <c r="V12" i="2"/>
  <c r="W13" i="2" s="1"/>
  <c r="L12" i="2"/>
  <c r="F12" i="2"/>
  <c r="V11" i="2"/>
  <c r="W12" i="2" s="1"/>
  <c r="L11" i="2"/>
  <c r="F11" i="2"/>
  <c r="V10" i="2"/>
  <c r="L10" i="2"/>
  <c r="F10" i="2"/>
  <c r="V9" i="2"/>
  <c r="X9" i="2" s="1"/>
  <c r="L9" i="2"/>
  <c r="F9" i="2"/>
  <c r="W8" i="2"/>
  <c r="V8" i="2"/>
  <c r="L8" i="2"/>
  <c r="F8" i="2"/>
  <c r="X7" i="2"/>
  <c r="R7" i="2"/>
  <c r="L7" i="2"/>
  <c r="F7" i="2"/>
  <c r="X6" i="2"/>
  <c r="R6" i="2"/>
  <c r="L6" i="2"/>
  <c r="F6" i="2"/>
  <c r="X5" i="2"/>
  <c r="R5" i="2"/>
  <c r="L5" i="2"/>
  <c r="F5" i="2"/>
  <c r="E17" i="2" l="1"/>
  <c r="X13" i="2"/>
  <c r="W10" i="2"/>
  <c r="X10" i="2" s="1"/>
  <c r="X8" i="2"/>
  <c r="X12" i="2"/>
  <c r="W11" i="2"/>
  <c r="X11" i="2" s="1"/>
  <c r="W17" i="2" l="1"/>
  <c r="B10" i="3"/>
  <c r="B9" i="3"/>
  <c r="B8" i="3"/>
  <c r="B7" i="3"/>
  <c r="B6" i="3"/>
  <c r="B5" i="3"/>
  <c r="B4" i="3"/>
  <c r="B3" i="3"/>
  <c r="B2" i="3"/>
  <c r="B14" i="3" l="1"/>
</calcChain>
</file>

<file path=xl/comments1.xml><?xml version="1.0" encoding="utf-8"?>
<comments xmlns="http://schemas.openxmlformats.org/spreadsheetml/2006/main">
  <authors>
    <author>Diana Alessandra Blanco Bernal</author>
  </authors>
  <commentList>
    <comment ref="Z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AA7" authorId="0" shapeId="0">
      <text>
        <r>
          <rPr>
            <b/>
            <sz val="9"/>
            <color indexed="81"/>
            <rFont val="Tahoma"/>
            <family val="2"/>
          </rPr>
          <t>Diana Alessandra Blanco Bernal:</t>
        </r>
        <r>
          <rPr>
            <sz val="9"/>
            <color indexed="81"/>
            <rFont val="Tahoma"/>
            <family val="2"/>
          </rPr>
          <t xml:space="preserve">
No se logra nueva,ente efectuar medición, lo anterior teniendo en cuenta que no se reporta los resultados de acuerdo a los criterios establecidos.</t>
        </r>
      </text>
    </comment>
    <comment ref="AG7" authorId="0" shapeId="0">
      <text>
        <r>
          <rPr>
            <b/>
            <sz val="9"/>
            <color indexed="81"/>
            <rFont val="Tahoma"/>
            <family val="2"/>
          </rPr>
          <t>Diana Alessandra Blanco Bernal:</t>
        </r>
        <r>
          <rPr>
            <sz val="9"/>
            <color indexed="81"/>
            <rFont val="Tahoma"/>
            <family val="2"/>
          </rPr>
          <t xml:space="preserve">
No se logra visualizar resultados obtenidos para el tercer trimestre del año, nuevamente se sugiere efectuar control de cambios en los criterios de medición y análisis, lo anterior con el fin de dar alcance al proceso de seguimiento y control.</t>
        </r>
      </text>
    </comment>
    <comment ref="Z8" authorId="0" shapeId="0">
      <text>
        <r>
          <rPr>
            <b/>
            <sz val="9"/>
            <color indexed="81"/>
            <rFont val="Tahoma"/>
            <family val="2"/>
          </rPr>
          <t>Diana Alessandra Blanco Bernal:</t>
        </r>
        <r>
          <rPr>
            <sz val="9"/>
            <color indexed="81"/>
            <rFont val="Tahoma"/>
            <family val="2"/>
          </rPr>
          <t xml:space="preserve">
Se requiere diligenciar los campos de acuerdo con los criterios definidos, lo anterior con el fin de generar los análisis correspondientes.</t>
        </r>
      </text>
    </comment>
    <comment ref="AA8" authorId="0" shapeId="0">
      <text>
        <r>
          <rPr>
            <b/>
            <sz val="9"/>
            <color indexed="81"/>
            <rFont val="Tahoma"/>
            <family val="2"/>
          </rPr>
          <t>Diana Alessandra Blanco Bernal:</t>
        </r>
        <r>
          <rPr>
            <sz val="9"/>
            <color indexed="81"/>
            <rFont val="Tahoma"/>
            <family val="2"/>
          </rPr>
          <t xml:space="preserve">
¿ A qué proyecto se le apunta? Se requiere ser especifico.</t>
        </r>
      </text>
    </comment>
    <comment ref="AB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D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F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H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J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L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AO23" authorId="0" shapeId="0">
      <text>
        <r>
          <rPr>
            <b/>
            <sz val="9"/>
            <color indexed="81"/>
            <rFont val="Tahoma"/>
            <family val="2"/>
          </rPr>
          <t>Diana Alessandra Blanco Bernal:</t>
        </r>
        <r>
          <rPr>
            <sz val="9"/>
            <color indexed="81"/>
            <rFont val="Tahoma"/>
            <family val="2"/>
          </rPr>
          <t xml:space="preserve">
Minimo a lograr de acuerdo con la meta establecida 1.349.063 unidades programadas y vendidas.
</t>
        </r>
      </text>
    </comment>
    <comment ref="Q70" authorId="0" shapeId="0">
      <text>
        <r>
          <rPr>
            <b/>
            <sz val="9"/>
            <color indexed="81"/>
            <rFont val="Tahoma"/>
            <charset val="1"/>
          </rPr>
          <t>Diana Alessandra Blanco Bernal:</t>
        </r>
        <r>
          <rPr>
            <sz val="9"/>
            <color indexed="81"/>
            <rFont val="Tahoma"/>
            <charset val="1"/>
          </rPr>
          <t xml:space="preserve">
INFORMACIÓN IMPORTANTE 
Se informa que el próximo 14 de febrero de 2020 se cerrará el sistema ITA tanto para el registro como para el diligenciamiento de la matriz de cumplimiento, dando por terminado el periodo de medición 2019, por tanto los sujetos obligados que ya reportaron ese periodo no necesitan hacer ningún proceso adicional. Para el año 2020 se establecerá una nueva medición la cual se llevará a cabo en el segundo semestre, por tal motivo se invita a consultar esta página para conocer los detalles de este proceso.
</t>
        </r>
      </text>
    </comment>
    <comment ref="S70" authorId="0" shapeId="0">
      <text>
        <r>
          <rPr>
            <b/>
            <sz val="9"/>
            <color indexed="81"/>
            <rFont val="Tahoma"/>
            <charset val="1"/>
          </rPr>
          <t>Diana Alessandra Blanco Bernal:</t>
        </r>
        <r>
          <rPr>
            <sz val="9"/>
            <color indexed="81"/>
            <rFont val="Tahoma"/>
            <charset val="1"/>
          </rPr>
          <t xml:space="preserve">
INFORMACIÓN IMPORTANTE 
Se informa que el próximo 14 de febrero de 2020 se cerrará el sistema ITA tanto para el registro como para el diligenciamiento de la matriz de cumplimiento, dando por terminado el periodo de medición 2019, por tanto los sujetos obligados que ya reportaron ese periodo no necesitan hacer ningún proceso adicional. Para el año 2020 se establecerá una nueva medición la cual se llevará a cabo en el segundo semestre, por tal motivo se invita a consultar esta página para conocer los detalles de este proceso.</t>
        </r>
      </text>
    </comment>
    <comment ref="U70" authorId="0" shapeId="0">
      <text>
        <r>
          <rPr>
            <b/>
            <sz val="9"/>
            <color indexed="81"/>
            <rFont val="Tahoma"/>
            <charset val="1"/>
          </rPr>
          <t>Diana Alessandra Blanco Bernal:</t>
        </r>
        <r>
          <rPr>
            <sz val="9"/>
            <color indexed="81"/>
            <rFont val="Tahoma"/>
            <charset val="1"/>
          </rPr>
          <t xml:space="preserve">
INFORMACIÓN IMPORTANTE 
Se informa que el próximo 14 de febrero de 2020 se cerrará el sistema ITA tanto para el registro como para el diligenciamiento de la matriz de cumplimiento, dando por terminado el periodo de medición 2019, por tanto los sujetos obligados que ya reportaron ese periodo no necesitan hacer ningún proceso adicional. Para el año 2020 se establecerá una nueva medición la cual se llevará a cabo en el segundo semestre, por tal motivo se invita a consultar esta página para conocer los detalles de este proceso.</t>
        </r>
      </text>
    </comment>
  </commentList>
</comments>
</file>

<file path=xl/sharedStrings.xml><?xml version="1.0" encoding="utf-8"?>
<sst xmlns="http://schemas.openxmlformats.org/spreadsheetml/2006/main" count="1725" uniqueCount="777">
  <si>
    <t>EMPRESA DE LICORES DE CUNDINAMARCA</t>
  </si>
  <si>
    <t>Código: MPE0203000000.F01-1</t>
  </si>
  <si>
    <t>Versión: 1</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</si>
  <si>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</si>
  <si>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</si>
  <si>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</si>
  <si>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</si>
  <si>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</si>
  <si>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</si>
  <si>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</si>
  <si>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</si>
  <si>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</si>
  <si>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</si>
  <si>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</si>
  <si>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</si>
  <si>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</si>
  <si>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</si>
  <si>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</si>
  <si>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</si>
  <si>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</si>
  <si>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</si>
  <si>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</si>
  <si>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</si>
  <si>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</si>
  <si>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</si>
  <si>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</si>
  <si>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</si>
  <si>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</si>
  <si>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</si>
  <si>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</si>
  <si>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</si>
  <si>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</si>
  <si>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</si>
  <si>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</si>
  <si>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</si>
  <si>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</si>
  <si>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RESULTADOS FAVORABLES/ OPORTUNIDAD DE MEJORA / ACCIÓN CORRECTIVA.</t>
  </si>
  <si>
    <t>PROCESOS ESTRATEGICOS.</t>
  </si>
  <si>
    <t>1.</t>
  </si>
  <si>
    <t>DIRECCIONAMIENTO ESTRATEGICO.</t>
  </si>
  <si>
    <t>1.1.</t>
  </si>
  <si>
    <t>Formulación de Planes y Programas.</t>
  </si>
  <si>
    <t>1.1.1.</t>
  </si>
  <si>
    <t>Determinar el grado de eficiencia con que se emplean los recursos(costos / gastos incurridos), en la oficina asesora de planeación y sistemas de información.</t>
  </si>
  <si>
    <t>Eficiencia.</t>
  </si>
  <si>
    <t>(( Costos y/o gastos totales incurridos por la OAPSI/ Costos y/o gastos totales incurridos por la ELC)*100).</t>
  </si>
  <si>
    <t>Porcentual.</t>
  </si>
  <si>
    <t xml:space="preserve">Oficina Asesora de Planeación y Sistemas de Información. </t>
  </si>
  <si>
    <t>Mensual.</t>
  </si>
  <si>
    <t>1.1.2.</t>
  </si>
  <si>
    <t>Dar cumplimiento en calidad y oportunidad con las obligaciones y requerimientos formales de los entes internos, externos y de control de la Empresa de Licores de Cundinamarca para evitar sanciones disciplinarias y pecuniarias.</t>
  </si>
  <si>
    <t>Eficacia.</t>
  </si>
  <si>
    <t>(No. informes presentados oportunamente  / No. informes programados).</t>
  </si>
  <si>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</si>
  <si>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</si>
  <si>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</si>
  <si>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xml:space="preserve">Trimestral. </t>
  </si>
  <si>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</si>
  <si>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</si>
  <si>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</si>
  <si>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</si>
  <si>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</si>
  <si>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</si>
  <si>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</si>
  <si>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</si>
  <si>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</si>
  <si>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</si>
  <si>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</si>
  <si>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</si>
  <si>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</si>
  <si>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</si>
  <si>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</si>
  <si>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</si>
  <si>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</si>
  <si>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</si>
  <si>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2.2.</t>
  </si>
  <si>
    <t>Revisión y Seguimiento.</t>
  </si>
  <si>
    <t>2.2.1.</t>
  </si>
  <si>
    <t>Administrador del Riesgo.</t>
  </si>
  <si>
    <t>Efectuar control del reporte en oportunidad, de las acciones realizadas por parte de los Macroprocesos y que están identificados en la matriz de riesgos, para facilitar el seguimiento y evaluación que realiza la oficina de control interno.</t>
  </si>
  <si>
    <t>(Número total de informes reportados en el periodo / Número total de reportes solicitados)*100</t>
  </si>
  <si>
    <t>PROCESOS MISIONALES.</t>
  </si>
  <si>
    <t>3.</t>
  </si>
  <si>
    <t>GESTION DE PRODUCCIÓN.</t>
  </si>
  <si>
    <t>3.1.</t>
  </si>
  <si>
    <t xml:space="preserve">Planificación de la producción </t>
  </si>
  <si>
    <t>3.1.1.</t>
  </si>
  <si>
    <t>Subgerencia Técnica.</t>
  </si>
  <si>
    <t xml:space="preserve">Ejecucción de la producción. </t>
  </si>
  <si>
    <t>3.2.2.</t>
  </si>
  <si>
    <t>3.2.4.</t>
  </si>
  <si>
    <t xml:space="preserve">(Volumen de licor reciclado en el periodo/Volumen fabricado en el periodo)*100. </t>
  </si>
  <si>
    <t>4.</t>
  </si>
  <si>
    <t>GESTIÓN COMERCIAL.</t>
  </si>
  <si>
    <t>4.1.</t>
  </si>
  <si>
    <t xml:space="preserve">Planeación comercial. </t>
  </si>
  <si>
    <t>4.1.1</t>
  </si>
  <si>
    <t>Determinar la concentracion de los costos / gastos incurridos en la Subgerencia Comercial.</t>
  </si>
  <si>
    <t>(Costos y/o gastos totales incurridos por la Subgerencia Comercial  / Costos y/o gastos totales incurridos por la ELC)*100.</t>
  </si>
  <si>
    <t>Subgerencia Comercial.</t>
  </si>
  <si>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</si>
  <si>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</si>
  <si>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</si>
  <si>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</si>
  <si>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</si>
  <si>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(Inversión en publicidad en el periodo / Ingresos generados en el periodo)*100.</t>
  </si>
  <si>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</si>
  <si>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</si>
  <si>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</si>
  <si>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</si>
  <si>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</si>
  <si>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 de Unid vendidas en el periodo / # de Unid programadas a vender en el periodo.</t>
  </si>
  <si>
    <t>Unidades 750ml.</t>
  </si>
  <si>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</si>
  <si>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</si>
  <si>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</si>
  <si>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</si>
  <si>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</si>
  <si>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</si>
  <si>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RESULTADOS FAVORABLES</t>
  </si>
  <si>
    <t>4.4.4</t>
  </si>
  <si>
    <t>Índice de cumplimiento de las Ventas Exterior.</t>
  </si>
  <si>
    <t>Medir el nivel de cumplimiento en las ventas de licores en el exterior, esto con el fin de establecer si efectivamente se está dando debida ejecución al Plan Anual de ventas para el exterior.</t>
  </si>
  <si>
    <t>4.4.5</t>
  </si>
  <si>
    <t>Índice de cumplimiento en ventas de alcohol.</t>
  </si>
  <si>
    <t>Medir el nivel de cumplimiento en las ventas de alcohol en el departamento de Cundinamarca, esto con el fin de establecer si efectivamente se está dando debida ejecución al Plan Anual de ventas para el departamento.</t>
  </si>
  <si>
    <t># de litros vendidos en el periodo / # de litros programados a vender en el periodo.</t>
  </si>
  <si>
    <t>Litros.</t>
  </si>
  <si>
    <t>PROCESOS DE APOYO.</t>
  </si>
  <si>
    <t>5.</t>
  </si>
  <si>
    <t>GESTIÓN FINANCIERA.</t>
  </si>
  <si>
    <t>5.1.</t>
  </si>
  <si>
    <t>Presupuesto.</t>
  </si>
  <si>
    <t>5.1.1.</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</si>
  <si>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</si>
  <si>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</si>
  <si>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</si>
  <si>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</si>
  <si>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5.1.2.</t>
  </si>
  <si>
    <t>Medir el porcentaje de cumplimiento de los ingresos presupuestados, en términos de reconocimientos acumulados, conforme a los ingresos definitivos apropiados.</t>
  </si>
  <si>
    <t>Reconocimientos Acumulados / Ingresos Apropiados</t>
  </si>
  <si>
    <t>ACCIÓN CORRECTIVA</t>
  </si>
  <si>
    <t>5.1.4.</t>
  </si>
  <si>
    <t>Medir el porcentaje de cumplimiento de ejecución presupuestal de gastos, frente al presupuesto definitivo apropiado</t>
  </si>
  <si>
    <t>Compromisos Acumulados / Presupuesto Definitivo de Gastos Apropiado</t>
  </si>
  <si>
    <t>5.2.</t>
  </si>
  <si>
    <t>Tesorería.</t>
  </si>
  <si>
    <t>5.2.1.</t>
  </si>
  <si>
    <t>Razón Corriente.</t>
  </si>
  <si>
    <t>Indicar la capacidad que tiene la empresa para cumplir con sus obligaciones a corto plazo</t>
  </si>
  <si>
    <t>Liquidez</t>
  </si>
  <si>
    <t xml:space="preserve"> Activo Corriente / Pasivo Corriente.</t>
  </si>
  <si>
    <t>Pesos.</t>
  </si>
  <si>
    <t>.</t>
  </si>
  <si>
    <t>5.2.2.</t>
  </si>
  <si>
    <t>Capital Neto de Trabajo.</t>
  </si>
  <si>
    <t>Mostrar el valor que le queda a la Empresa despues de pagar sus pasivos de corto plazo, permitiendo la toma de decisiones de inversiòn temporal</t>
  </si>
  <si>
    <t>Activo Corriente - Inventarios / Pasivo Corriente.</t>
  </si>
  <si>
    <t>5.2.4.</t>
  </si>
  <si>
    <t>Endeudamiento</t>
  </si>
  <si>
    <t>Por cada peso invertido en activos, cuanto esta financiado por terceros</t>
  </si>
  <si>
    <t>Pasivo Total / Activo Total</t>
  </si>
  <si>
    <t>Porcentaje.</t>
  </si>
  <si>
    <t>Contabilidad.</t>
  </si>
  <si>
    <t>5.4.3.</t>
  </si>
  <si>
    <t>Margen Operaciones de Utilidad.</t>
  </si>
  <si>
    <t>Medir el margen de operaciones de utilidad en términos de la utilidad operacional sobre las ventas netas.</t>
  </si>
  <si>
    <t>Margen Operaciones de Utilidad = Utilidad Operacional / Ventas Netas.</t>
  </si>
  <si>
    <t>5.4.4.</t>
  </si>
  <si>
    <t>Margen Neto de Utilidad.</t>
  </si>
  <si>
    <t>Medir el margen neto de utilidad en términos de la utilidad neta sobre las ventas netas.</t>
  </si>
  <si>
    <t>Margen Neto de Utilidad = Utilidad Neta / Ventas Netas.</t>
  </si>
  <si>
    <t>5.4.5.</t>
  </si>
  <si>
    <t>Rendimiento de Patrimonio.</t>
  </si>
  <si>
    <t>Medir el rendimiento de patrimonio en términos de utilidad del ejercicio sobre el patrimonio.</t>
  </si>
  <si>
    <t xml:space="preserve"> Utilidad del Ejercicio / Patrimonio.</t>
  </si>
  <si>
    <t>6.</t>
  </si>
  <si>
    <t>GESTIÓN ADMINISTRATIVA.</t>
  </si>
  <si>
    <t>6.1.</t>
  </si>
  <si>
    <t>Gestión de Recursos Físicos.</t>
  </si>
  <si>
    <t>6.1.1.</t>
  </si>
  <si>
    <t>Consumo papel.</t>
  </si>
  <si>
    <t xml:space="preserve">Reducir el consumo de papel, con el fin de dar cumplimiento del objetivo estratégico, el cual obecece a eficiencia y austeridad de los costos y gastos incurridos por la Empresa de Licores de Cundinamarca. </t>
  </si>
  <si>
    <t>((Consumo de papel mes vigencia actual / Consumo de papel mes vigencia anterior) - 1)</t>
  </si>
  <si>
    <t>Subgerencia Administrativa.</t>
  </si>
  <si>
    <t xml:space="preserve">Mensual. </t>
  </si>
  <si>
    <t>6.1.2.</t>
  </si>
  <si>
    <t>Administración de Materiales Adquiridos.</t>
  </si>
  <si>
    <t>Medir el nivel de cumplimiento de reservas solicitadas de materias primas y/o insumos para producción.</t>
  </si>
  <si>
    <t>(Total ordenes de transporte entregadas a producción / Total reservas solicitadas por producción)*100</t>
  </si>
  <si>
    <t>6.1.3.</t>
  </si>
  <si>
    <t>Control de inventarios.</t>
  </si>
  <si>
    <t>Mantener control de  los inventarios en bodega de materias primas e insumos mediante tomas físicas.</t>
  </si>
  <si>
    <t>(Valor de materias primas e insumos trazadores por contratos / valor total contratos de materias primas e insumos trazadores) *100</t>
  </si>
  <si>
    <t>Semestral.</t>
  </si>
  <si>
    <t>6.1.4.</t>
  </si>
  <si>
    <t>Relación de Inventarios.</t>
  </si>
  <si>
    <t>Medir porcentualmente nivel de ejecucción en pesos en la entrega de materias primas e insumos trazadores para la producción según contratos.</t>
  </si>
  <si>
    <t>( Ejecución en pesos de contratos de materias primas e insumos trazadores / Valor total en pesos de los contratos de materias primas e insumos trazadores), dicha formula se desagregara por alcohol, tafia, etiqueta, envase tetra, envase de vidrio, cartón y tapa.</t>
  </si>
  <si>
    <t>Subgerencias Administrativa, Comercial y Técnica.</t>
  </si>
  <si>
    <t>6.1.11.</t>
  </si>
  <si>
    <t>Variaciones de Inventarios.</t>
  </si>
  <si>
    <t>Determinar porcentualmente las variaciones entre las cantidades identificadas en fisico y las cantidades registradas en el sistema de información con el fin de minimizar las diferencias generadas.</t>
  </si>
  <si>
    <t>(Valor en pesos de la toma fisica del inventario de Insumos y material de empaque, alcohol y tafias / Valor en pesos del inventario en el Sistemas de Información SAP)*100</t>
  </si>
  <si>
    <t>Alcohol: Mensual.
Empaque -Tafia: Semestral</t>
  </si>
  <si>
    <t>6.2.</t>
  </si>
  <si>
    <t>6.2.1.</t>
  </si>
  <si>
    <t>Nivel de Disposición final de serie documental.</t>
  </si>
  <si>
    <t>Todas las Subgerencias y Oficinas.</t>
  </si>
  <si>
    <t>Anual.</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</si>
  <si>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</si>
  <si>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</si>
  <si>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</si>
  <si>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</si>
  <si>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PORCENTAJE - No SERIES TRANSFERIDAS.</t>
  </si>
  <si>
    <t>6.3.</t>
  </si>
  <si>
    <t>Servicios Administrativos.</t>
  </si>
  <si>
    <t>6.3.1.</t>
  </si>
  <si>
    <t>Determinar el grado de eficiencia con que se emplean los recursos(costos / gastos incurridos), en la Subgerencia Administrativa.</t>
  </si>
  <si>
    <t>Costos y/o gastos totales incurridos por la Subgerencia Administrativa  / Costos y/o gastos totales incurridos por la ELC.</t>
  </si>
  <si>
    <t>6.3.2.</t>
  </si>
  <si>
    <t>Variación de Consumo de Combustible.</t>
  </si>
  <si>
    <t>Medir la variación del consumo total del combustible mes actual, conforme al consumo total mensual del año anterior.</t>
  </si>
  <si>
    <t>((Consumo de combustible mes vigencia actual / Consumo de combustible mes vigencia anterior) - 1)</t>
  </si>
  <si>
    <t>Porcentaje - Consumo Galones.</t>
  </si>
  <si>
    <t>6.3.3.</t>
  </si>
  <si>
    <t>Nivel de Mantenimientos Locativos Atendidos.</t>
  </si>
  <si>
    <t>Medir porcentualmente los mantenimientos locativos atendidos, conforme a los mantenimientos locativos solicitados.</t>
  </si>
  <si>
    <t>(Mantenimientos Locativos Atendidos / Mantenimientos Locativos Solicitados)*100.</t>
  </si>
  <si>
    <t>Porcentaje- Mantenimientos Atendidos.</t>
  </si>
  <si>
    <t>7.</t>
  </si>
  <si>
    <t>GESTIÓN DE TALENTO HUMANO.</t>
  </si>
  <si>
    <t>7.1.</t>
  </si>
  <si>
    <t>Administración del Talento Humano.</t>
  </si>
  <si>
    <t>7.1.1.</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</si>
  <si>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</si>
  <si>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</si>
  <si>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Subgerencia de Talento Humano.</t>
  </si>
  <si>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</si>
  <si>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</si>
  <si>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</si>
  <si>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</si>
  <si>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</si>
  <si>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7.1.3.</t>
  </si>
  <si>
    <t>Índice de Cumplimiento del Programa de Bienestar Social.</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</si>
  <si>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</si>
  <si>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</si>
  <si>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7.1.4.</t>
  </si>
  <si>
    <t>Novedades de Nomina.</t>
  </si>
  <si>
    <t>Medir la efectividad en el proceso de liquidación de novedades de nomina en el periodo.</t>
  </si>
  <si>
    <t>No. de reclamaciones en el periodo/ No. de novedades en el periodo.</t>
  </si>
  <si>
    <t>Procentaje.</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</si>
  <si>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</si>
  <si>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</si>
  <si>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</si>
  <si>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</si>
  <si>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 xml:space="preserve">Programa de salud ocupacional. </t>
  </si>
  <si>
    <t>7.2.2.</t>
  </si>
  <si>
    <t>Índice de Frecuencia de Accidentes.</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</si>
  <si>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</si>
  <si>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</si>
  <si>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</si>
  <si>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7.2.3.</t>
  </si>
  <si>
    <t>Índice de Cumplimiento del Programa de Seguridad y Salud en el trabajo.</t>
  </si>
  <si>
    <t>Prevenir  accidentes laborales y mantener las condiciones sanas y seguras de los funcionarios de la Empresa de Licores de Cundinamarca, en el desarrollo de sus actividades cotidianas.</t>
  </si>
  <si>
    <t>Actividades Ejecutadas / Actividades Programadas * 100.</t>
  </si>
  <si>
    <t>7.2.4.</t>
  </si>
  <si>
    <t>Plan intervención clima laboral.</t>
  </si>
  <si>
    <t>Provocar un impacto positivo en el clima laboral de la Empresa Licores de Cundinamarca, con el fin de incrementar la productividad y trabajo en equipo de los funcionarios de la entidad.</t>
  </si>
  <si>
    <t>GESTION JURÍDICA.</t>
  </si>
  <si>
    <t>Asesoría Jurídica.</t>
  </si>
  <si>
    <t>8.1.1.</t>
  </si>
  <si>
    <t>Índice de costos para la Gestión de la Oficina Asesora Jurídica.</t>
  </si>
  <si>
    <t xml:space="preserve">Determinar el grado de eficiencia con que se emplean los recursos(costos / gastos incurridos), en la Oficina Asesora Jurídica. </t>
  </si>
  <si>
    <t>Costos y/o gastos totales incurridos por la Oficina Asesora Jurídica  / Costos y/o gastos totales incurridos por la ELC.</t>
  </si>
  <si>
    <t>Oficina Asesora Jurídica.</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</si>
  <si>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</si>
  <si>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</si>
  <si>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</si>
  <si>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</si>
  <si>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Bimestral.</t>
  </si>
  <si>
    <t>8.2.</t>
  </si>
  <si>
    <t>Defensa Jurídica.</t>
  </si>
  <si>
    <t>8.2.1.</t>
  </si>
  <si>
    <t>Representación Jurídica.</t>
  </si>
  <si>
    <t>Medir porcentualmente el nivel de Cumplimiento de las acciones ejecutadas para proteger los intereses de la ELC conforme a lo establece la normatividad.</t>
  </si>
  <si>
    <t>(# de procesos a favor/ # Total de procesos)</t>
  </si>
  <si>
    <t xml:space="preserve">
(# de procesos en contra/ # Total de procesos)
</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</si>
  <si>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</si>
  <si>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</si>
  <si>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</si>
  <si>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</si>
  <si>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</si>
  <si>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</si>
  <si>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</si>
  <si>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</si>
  <si>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</si>
  <si>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8.3.</t>
  </si>
  <si>
    <t>8.3.2.</t>
  </si>
  <si>
    <t>Registro de marcas.</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</si>
  <si>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</si>
  <si>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</si>
  <si>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</si>
  <si>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</si>
  <si>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</si>
  <si>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</si>
  <si>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</si>
  <si>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</si>
  <si>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</si>
  <si>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</si>
  <si>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</si>
  <si>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Oficina Asesora de Planeación y Sistemas de Información.</t>
  </si>
  <si>
    <t>Semanal.</t>
  </si>
  <si>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</si>
  <si>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</si>
  <si>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</si>
  <si>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</si>
  <si>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9.1.3.</t>
  </si>
  <si>
    <t>Actualización y acceso a página web.</t>
  </si>
  <si>
    <t xml:space="preserve">Garantizar la actualización periodica de la información disponible en la pagina web de la empresa e intranet y el acceso a todos los usuarios. </t>
  </si>
  <si>
    <t>(Items dispuestos en la página oficial de la entidad / Items requeridos por la normatividad).</t>
  </si>
  <si>
    <t>9.1.4.</t>
  </si>
  <si>
    <t>Mantenimiento plataforma tecnológica.</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</si>
  <si>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</si>
  <si>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</si>
  <si>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</si>
  <si>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</si>
  <si>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</si>
  <si>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</si>
  <si>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</si>
  <si>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</si>
  <si>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</si>
  <si>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</si>
  <si>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</si>
  <si>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10.1.2.</t>
  </si>
  <si>
    <t>Proyección comunicación corporativa.</t>
  </si>
  <si>
    <t>Realizar comunicados corporativos que muestren la gestión y logros de la Empresa de Licores de Cundinamarca.</t>
  </si>
  <si>
    <t>Número de comunicados proyectados/ Número comunicados publicados.</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</si>
  <si>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</si>
  <si>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</si>
  <si>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</si>
  <si>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</si>
  <si>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</si>
  <si>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</si>
  <si>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</si>
  <si>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</si>
  <si>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</si>
  <si>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</si>
  <si>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</si>
  <si>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</si>
  <si>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</si>
  <si>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</si>
  <si>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</si>
  <si>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</si>
  <si>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</si>
  <si>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11.1.2.</t>
  </si>
  <si>
    <t>MTTR (Tiempo medio para reparar) por línea.</t>
  </si>
  <si>
    <t>Determinar en promedio en cuanto tiempo se resuelve al paro no programado.</t>
  </si>
  <si>
    <t>Tiempo total de innactividad / Número de Fallas.</t>
  </si>
  <si>
    <t>12.</t>
  </si>
  <si>
    <t>GESTIÓN CONTRACTUAL.</t>
  </si>
  <si>
    <t>12.1.</t>
  </si>
  <si>
    <t>Adquisición de bienes y servicios y comercialización de los productos de la Empresa de Licores de Cundinamarca.</t>
  </si>
  <si>
    <t>12.1.1.</t>
  </si>
  <si>
    <t>Costos y/o gastos totales incurridos por la Oficina gestión contractual/ Costos y/o gastos totales incurridos por la ELC.</t>
  </si>
  <si>
    <t xml:space="preserve">Oficina Gestión Contractual. </t>
  </si>
  <si>
    <t>12.1.2.</t>
  </si>
  <si>
    <t>Procesos contractuales.</t>
  </si>
  <si>
    <t>Medir el nivel de cumplimiento de los procesos solicitados. (Compra)</t>
  </si>
  <si>
    <t>No. procesos realizados /No. Procesos solicitados.</t>
  </si>
  <si>
    <t>12.1.3.</t>
  </si>
  <si>
    <t>Medir el nivel de cumplimiento de los procesos solicitados. (Venta)</t>
  </si>
  <si>
    <t>12.1.4.</t>
  </si>
  <si>
    <t>Procesos contractuales Reportados (SIA Contraloria)</t>
  </si>
  <si>
    <t>Medir el nivel de cumplimiento de los procesos elaborados en la plataforma Sia Contraloria</t>
  </si>
  <si>
    <t>No. procesos realizados /No. Procesos Reportados.</t>
  </si>
  <si>
    <t>13.</t>
  </si>
  <si>
    <t>GESTIÓN AMBIENTAL.</t>
  </si>
  <si>
    <t>Control Ambiental.</t>
  </si>
  <si>
    <t>13.1.1.</t>
  </si>
  <si>
    <t>Consumo de Agua.</t>
  </si>
  <si>
    <t>Disminuir el consumo de agua entre dos periodos comparables, con el fin de determinar el uso racional del recurso.</t>
  </si>
  <si>
    <t>Consumo de Agua en m3 en el año 2 - consumo de agua en el año1 .</t>
  </si>
  <si>
    <t>m^3.</t>
  </si>
  <si>
    <t>13.1.2.</t>
  </si>
  <si>
    <t>Cantidad de Vertimientos industriales Generados mensualmente.</t>
  </si>
  <si>
    <t>Cantidad de vertimiento dispuesto en litros / Número de  unidades  producidas en el periodo.</t>
  </si>
  <si>
    <t>13.1.3.</t>
  </si>
  <si>
    <t>Residuos ordinarios generados mensualmente.</t>
  </si>
  <si>
    <t>Kg de Residuos aprovechables generados en el periodo actual - Kg de residuos aprovechables  generados en el periodo anterior.</t>
  </si>
  <si>
    <t>13.1.4.</t>
  </si>
  <si>
    <t>Residuos Peligrosos generados mensualmente.</t>
  </si>
  <si>
    <t>Reducir la generación de residuos peligrosos, con respecto al periodo anterior.</t>
  </si>
  <si>
    <t>Kg de Residuos Peligrosos generados en el periodo actual - Kg de residuos peligrosos generados en el periodo anterior.</t>
  </si>
  <si>
    <t>Kg.</t>
  </si>
  <si>
    <t>PROCESOS DE EVALUACION Y CONTROL.</t>
  </si>
  <si>
    <t>14.</t>
  </si>
  <si>
    <t>CONTROL INTERNO.</t>
  </si>
  <si>
    <t>14.1.</t>
  </si>
  <si>
    <t>Evaluación del Control Interno.</t>
  </si>
  <si>
    <t>14.1.1.</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</si>
  <si>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</si>
  <si>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</si>
  <si>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</si>
  <si>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</si>
  <si>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</si>
  <si>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</si>
  <si>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</si>
  <si>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</si>
  <si>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14.1.3.</t>
  </si>
  <si>
    <t>Seguimiento al Mapa de Riesgos.</t>
  </si>
  <si>
    <t>Medir porcentualmente el seguimiento a los mapas de riesgos por procesos de las dependencias de la ELC.</t>
  </si>
  <si>
    <t>(( Número de Seguimientos Realizados / Número de Dependencias de la ELC) * 100).</t>
  </si>
  <si>
    <t>14.1.4.</t>
  </si>
  <si>
    <t>Seguimiento al Plan de mejora continua.</t>
  </si>
  <si>
    <t>14.1.5.</t>
  </si>
  <si>
    <t>Acompañamientos y solicitudes a nivel directivo.</t>
  </si>
  <si>
    <t>Brindar el acompañamiento solicitado por parte de las dependencias, garantizando la transparencia en los procesos, procedimientos y temas relacionados con la gestión de la Empresa de Licores de Cundinamarca.</t>
  </si>
  <si>
    <t xml:space="preserve">((Número de acompañamientos realizados/Número de acompañamientos solicitados en la vigencia) * 100). </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</si>
  <si>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</si>
  <si>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</si>
  <si>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</si>
  <si>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</si>
  <si>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</si>
  <si>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</si>
  <si>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</si>
  <si>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</si>
  <si>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</si>
  <si>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</si>
  <si>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</si>
  <si>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</si>
  <si>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</si>
  <si>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15.1.2.</t>
  </si>
  <si>
    <t>Reclamaciones proveedores.</t>
  </si>
  <si>
    <t>Lograr que los materiales suministrados por los proveedores cumplan con las especificaciones técnicas exigidas por el ELC.</t>
  </si>
  <si>
    <t>Número de reclamaciones a proveedores en el semestre.</t>
  </si>
  <si>
    <t>Número.</t>
  </si>
  <si>
    <t>Semestral .</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</si>
  <si>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</si>
  <si>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</si>
  <si>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</si>
  <si>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</si>
  <si>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</si>
  <si>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Fórmulas generadas por el sistema información SAP, de acuerdo con los resultados obtenidos en las inspecciones y la ponderación que se establece para cada factor. Se revisa con la transacción MCXE.</t>
  </si>
  <si>
    <t>15.3.</t>
  </si>
  <si>
    <t>15.3.1.</t>
  </si>
  <si>
    <t>Avisos acciones</t>
  </si>
  <si>
    <t>Conocer el número de avisos preventivos, correctivos y de mejora en el periodo reportado para garantizar la mejora continua.</t>
  </si>
  <si>
    <t>Número total de avisos del periodo.</t>
  </si>
  <si>
    <t>15.3.2.</t>
  </si>
  <si>
    <t>Avisos material no conforme.</t>
  </si>
  <si>
    <t>Conocer el número eventos que ocasionan producto no conforme para minimizarlos.</t>
  </si>
  <si>
    <t>Número de avisos de material no conforme.</t>
  </si>
  <si>
    <t>15.4.</t>
  </si>
  <si>
    <t>Control de calidad en ventas.</t>
  </si>
  <si>
    <t>15.4.1.</t>
  </si>
  <si>
    <t>Reclamaciones clientes.</t>
  </si>
  <si>
    <t>Medir el numero de reclamos recibidos en el semestre, con el fin de mitigar las causas de las no conformidades.</t>
  </si>
  <si>
    <t>Número de reclamaciones en el semestre.</t>
  </si>
  <si>
    <t>15.5.</t>
  </si>
  <si>
    <t>Control de Instrumentos y equipos de medición.</t>
  </si>
  <si>
    <t>15.5.1.</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</si>
  <si>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</si>
  <si>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</si>
  <si>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</si>
  <si>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 xml:space="preserve">Gestión de instrumentos y equipos de medición. </t>
  </si>
  <si>
    <t>15.5.2.</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</si>
  <si>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</si>
  <si>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</si>
  <si>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</si>
  <si>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t>16.</t>
  </si>
  <si>
    <t>CONTROL DISCIPLINARIO.</t>
  </si>
  <si>
    <t>16.1.</t>
  </si>
  <si>
    <t>Proceso Disciplinario.</t>
  </si>
  <si>
    <t>16.1.1.</t>
  </si>
  <si>
    <t>Determinar el grado de eficiencia con que se emplean los recursos(costos / gastos incurridos), en la Oficina de Control Disiciplinario Interno.</t>
  </si>
  <si>
    <t>((Costos y/o gastos totales incurridos por la Oficina de Control  Interno Disciplinario  / Costos y/o gastos totales incurridos por la ELC)*100).</t>
  </si>
  <si>
    <t>Oficina de Control Interno Disciplinario.</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</si>
  <si>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</si>
  <si>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</si>
  <si>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</si>
  <si>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</si>
  <si>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</si>
  <si>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</si>
  <si>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</si>
  <si>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</si>
  <si>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</si>
  <si>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</si>
  <si>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</si>
  <si>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</si>
  <si>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GESTIÓN AMBIENTAL</t>
  </si>
  <si>
    <t xml:space="preserve">CONSUMO DE AGUA </t>
  </si>
  <si>
    <t>Resultados Obtenidos</t>
  </si>
  <si>
    <t>CANTIDAD DE VERTIMIENTOS INDUSTRIALES GENERADOS MENSUALMENTE</t>
  </si>
  <si>
    <t>Cantidad de vertimiento dispuesto en litros 2019.</t>
  </si>
  <si>
    <t>Cantidad de vertimiento dispuesto en litros 2018.</t>
  </si>
  <si>
    <t>RESIDUOS APROVECHABLES GENERADOS MENSUALMENTE</t>
  </si>
  <si>
    <t>Periodo Actual.</t>
  </si>
  <si>
    <t>Periodo Anterior.</t>
  </si>
  <si>
    <t>RESIDUOS PELIGROSOS GENERADOS MENSUALMENTE</t>
  </si>
  <si>
    <t xml:space="preserve">ENERO </t>
  </si>
  <si>
    <t xml:space="preserve">FEBRERO </t>
  </si>
  <si>
    <t xml:space="preserve">MARZO </t>
  </si>
  <si>
    <t xml:space="preserve">ABRIL </t>
  </si>
  <si>
    <t xml:space="preserve">AGOSTO </t>
  </si>
  <si>
    <t xml:space="preserve">SEPTIEMBRE </t>
  </si>
  <si>
    <t>Medir porcentualmente el nùmero de folios por serie documental dispuestos, de acuerdo con el nùmero de folios de series documentales aprobados por comité para disposición final.</t>
  </si>
  <si>
    <t>Numero de folios dispuestos por serie documental / Nùmero total de folios a disponer por series aprobados por el comité.</t>
  </si>
  <si>
    <t>Medir  la cantidad de vertimiento industrial,  con el fin de determinar el efluente generado en el proceso productivo.</t>
  </si>
  <si>
    <t>Medir porcentualmente el seguimiento al plan de mejora continua por procesos de las dependencias de la E.L.C.</t>
  </si>
  <si>
    <t>Cumplimiento Ejecución Presupuestal de Ingresos</t>
  </si>
  <si>
    <t>Cumplimiento Ejecución Presupuestal de Gastos.</t>
  </si>
  <si>
    <t>Reducir la generación de residuos ordinarios generados en el periodo actual - m^3 de residuos ordinarios gneerados en el periodo anterior.</t>
  </si>
  <si>
    <t>Índice de costos / gastos para la gestión de la Oficina asesora de planeación y sistemas de información.</t>
  </si>
  <si>
    <t>Índice de costos / gastos para la gestión de la Subgerencia Financiera.</t>
  </si>
  <si>
    <t xml:space="preserve">Índice de costos y/o gastos para la gestión de la Subgerencia Comercial. </t>
  </si>
  <si>
    <t>Índice de costos / gastos para la gestión de la Subgerencia Administrativa.</t>
  </si>
  <si>
    <t>Índice de costos para la Gestión de la Subgerencia de Talento Humano.</t>
  </si>
  <si>
    <t>Indice de costos/ gastos para la gestión de la Oficina Contractual.</t>
  </si>
  <si>
    <t>Indice de costos / gastos para la gestión de la Oficina de  Control Interno.</t>
  </si>
  <si>
    <t>Indice de costos/ gastos para la gestión de la Oficina de Control Disciplinario Interno.</t>
  </si>
  <si>
    <t>3.2.3.</t>
  </si>
  <si>
    <t>Control de la Efectividad en la Producción.</t>
  </si>
  <si>
    <t>Controlar y medir el grado de eficiencia de la planta de envasado, articulando el programa de producción segín el SOP.</t>
  </si>
  <si>
    <t>3.2.1.</t>
  </si>
  <si>
    <t>Capacidad de la Planta.</t>
  </si>
  <si>
    <t>Medir el uso eficiente de la capacidad instalada.</t>
  </si>
  <si>
    <t>Bajas en insumos de producción.</t>
  </si>
  <si>
    <t>Establecer la cantidad de bajas que se generan en cada línea de producción, con el fin de medir productividad del uso de los materiales.</t>
  </si>
  <si>
    <t>((Tiempo real/ tiempo disponible)*(Unidades producidas/ unidades planificadas))</t>
  </si>
  <si>
    <t>((Volumen de producción/ Capacidad instalada)*100)</t>
  </si>
  <si>
    <t>Envase</t>
  </si>
  <si>
    <t>Tapa</t>
  </si>
  <si>
    <t>Etiqueta</t>
  </si>
  <si>
    <t>Copa</t>
  </si>
  <si>
    <t>Cartón</t>
  </si>
  <si>
    <t>3.2.</t>
  </si>
  <si>
    <t>Medir y controlar las mermas de licor.</t>
  </si>
  <si>
    <t>((Unidades de licor envasado * promedio de llenado)/(Litros de licor envasado - recicle)*100)</t>
  </si>
  <si>
    <t>((Número de bajas reportadas por línea de Producción por insumo)/ (Número de unidades producidas por linea)*100). (Envasadero)</t>
  </si>
  <si>
    <t>Recicle de Licor.</t>
  </si>
  <si>
    <t>Determinar y controlar la cantidad de licor reciclado.</t>
  </si>
  <si>
    <t>Mermas de Licor.</t>
  </si>
  <si>
    <t>En el primer mes del año se revisó el listado maestro de documentos del SIG y trabajó 1 procedimeinto y 2 formatos correspondientes a la Gestión Ambiental los cuales fueron aprobados para este mes. 
Para esta fecha no se encontraba ningun documentos en revisión.</t>
  </si>
  <si>
    <t>En el segundo mes se trabajaron 4 documentos correspondientes a la Gestión Comercial y Control de Calidad.
Para esta fecha no se encontraba ningun documentos en revisión.</t>
  </si>
  <si>
    <t>En el tercer mes del año se actualizaron y aprobaron 11 documentos correspondientes a Control de Calidad, Producción, Comunicaciones Institucionales, Gestión Ambiental, Direccionamiento Estratégico.
En revisión se registraron 35 documentos correspondientes Talento Humano y Gestión Financiera.
Arrojando un porcentaje del 31% en documentación del SIG.</t>
  </si>
  <si>
    <t>*Durante el mes de enero se realizaron mesas de trabajo en las cuales se dió alcance a los siguientes temas: 
Indicadores de Gestión, Documentación SIG, Inducción, Informes de Gestión y SAP.
Para este mes se registraron 9 mesas de trabajo a un total de 16 servidores públicos</t>
  </si>
  <si>
    <t xml:space="preserve">*Durante el mes de febrero se realizaron 55 mesas de trabajo en las cuales se dió alcance a los siguientes temas: 
Indicadores de Gestión, Grupo Digital, Banco de proyectos, Documentación SIG, Revisión General SIG, Inducción, Capacitación, Auditoría Interna, Informe Responsabilidad Social y MIPG.     
El total de servidores públicos asesorados y/o capacitados fueron 126.
</t>
  </si>
  <si>
    <t xml:space="preserve">En el mes de marzo se realizaron 18 mesas de trabajo en las cuales se dió alcance a los siguientes temas: 
Indicadores de Gestión, Documentación SIG, Revisión General SIG, Auditoría Interna y MIPG.     
El total de servidores públicos asesorados y/o capacitados fueron 44.
</t>
  </si>
  <si>
    <t xml:space="preserve">En el mes de enero se controla la producción con lo planeado, para dar cumplimiento al sop en referencias que tiene alta demanda en el mercado, se deben mejorar los tiempos ociosos </t>
  </si>
  <si>
    <t>Durante el mes de febrero aumenta  el resultado, esto debido a que se cuenta con el personal completo .asegurando tener una mayor productividad al poder asignar de manera adecuada a los puestos de trabajo según capacidades físicas y conocimientos del puesto de trabajo</t>
  </si>
  <si>
    <t>Durante este mes no se cumple con las unidades producidas debido al la emergencia sanitaria generada por el Covid 19. Y tambien a razon de que se envaso en la linea 6 (170ml) el cual requiere de un proceso màs manual.</t>
  </si>
  <si>
    <t xml:space="preserve">En el mes de Enero este porcentaje en la productividad dada  en líneas  de producción correspondió a paradas tanto programadas como no programadas por parte de mantenimiento. Tales como taponamiento en boquillas de llenado y mantenimiento en  la linea de Tetrapack. </t>
  </si>
  <si>
    <t>En este periodo se evidencio un aumento, en la produccion de unidades  con respecto a la capacidad instalada a pesar de que hubieron problemas de cortes de energia y problemas mecanicos en la etiquetadora ,</t>
  </si>
  <si>
    <t>Durante este mes no se cumple con las unidades producidas debido  a que se envaso en la linea 6/170ml el cual es un proceso màs manual que automatico y a la emergencia sanitaria generada por el Covid 19 lo que genero para de Planta general.</t>
  </si>
  <si>
    <t>Durante el mes de Enero observamos que todos los insumos mantienen controles establecidos según consumo de insumos. Excepto el insumo de tetrabick debido a fallas en la maquina lo cual hizo qe aumentara el desperdicio de  dicho insumo afectando el indicador(Adjunto archivo Soporte resultados) ,</t>
  </si>
  <si>
    <t>En el mes de febrero se mantiene los controles sobre las bajas asi mismo se controla el insumo de tetrabick que en en el mes anterior habia generado un alto nivel de desperdicio.</t>
  </si>
  <si>
    <t>En marzo se mantienen los controles sobre los insumos se presenta un leve aumento respecto al periodo anterior esto a razòn de que se envaso en la linea 170ml el cual es una parte manual en dicho proceso .</t>
  </si>
  <si>
    <t>Duerante el mes de enero se evidencia que las mermas de licor fueron medidas y controladas ya que no se presentaron litros de recible en el periodo anterior, por tal motivo se envaso con lo preparado obteniendo 2% en mermas de licor</t>
  </si>
  <si>
    <t>Duerante el mes de febrero se evidencia que las mermas de licor fueron medidas y controladas teniendo en cuenta que que en este mes se presentaron recivles de licor y no se envaso en la totalidad los litros preparados esto evidenciando que no se presentaron mermas y el 27% genera mayor inventario de litros preparados.</t>
  </si>
  <si>
    <t>Duerante el mes de marzo se evidencia que las mermas de licor tuvieron variarion por los motivos de las preparaciones realizadas vs lo proyectado a envasar que por motivo del covid-19 se paro la propduccion por el cual el 73% fueron envasados y el 27% corresponde a los invetarios que quedaron en tanques de preparacion y no se envasaron, por tal motivo no se presentarion mercamas de licor.</t>
  </si>
  <si>
    <t>Durante el periodo no se registran recicles de licor debido a que los licores envasados seguiran siendo envasados durantes los sigueintes periodos por ende no se hace necesario reciclar el licor.</t>
  </si>
  <si>
    <t xml:space="preserve">Durante el mes de marzo  presentaron 2279  litros de recicle  este licor se utilizara posteriormente en la elaboracion de un nuevo producto.                                                                        =(Volumen de licor reciclado / Volumen Fabricado en el periodo )*100                                                                     =(2279/ 78500) *100 = 2,9%  </t>
  </si>
  <si>
    <t>La Empresa de Licores de Cundinamarca en el mes de enero invirtió tan solo una cifra cercana al 23% de los ingresos generados por ventas para el desarrollo de las estrategias de mercadeo y publicidad.</t>
  </si>
  <si>
    <t>La Empresa de Licores de Cundinamarca en el mes de febrero invirtió tan solo una cifra cercana al 8% de los ingresos generados por ventas para el desarrollo de las estrategias de mercadeo y publicidad.</t>
  </si>
  <si>
    <t>La Empresa de Licores de Cundinamarca en el mes de marzo asigno recursos  por una cifra cercana al 90% de los ingresos generados por una interrupcion en la operacion de ventas en el mismo periodo,debido a las limitaciones dadas por el gobierno nacional frente a la emergencia de salud.</t>
  </si>
  <si>
    <t>Para el mes de enero solo el distribuidor de Cundinamarca realizo compra, lo que represento el cumplimiento de solo el 89% de lo presupuestado.</t>
  </si>
  <si>
    <t>Para el mes de febrero los distribuidores de arauca, casanare, tolima, ecuador y cundinamarca a cumplieron el 94% de las cantidades presupuestadas.</t>
  </si>
  <si>
    <t>Para el mes de marzo  solo se cumplio el 6% de la meta, los distribuidores de arauca, casanare tolima fueron los unicos que realizaron una compra limitada,  afectados  las restricciones de la emergencia sanitaria a partir del 17 de marzo.</t>
  </si>
  <si>
    <t>Para el mes de enero el distribuidor realizó el 100% de la compra programada para el mes.</t>
  </si>
  <si>
    <t>Para el mes de febrero el distribuidor realizó el 100% de la compra programada para el mes.</t>
  </si>
  <si>
    <t>Para el mes de marzo el distribuidor no realizó nada de la compra programada para el mes.</t>
  </si>
  <si>
    <t>Por una estrategia de evaluacion de las condiciones de precios en el mercado no se realizaron ventas durante el mes de enero de 2020.</t>
  </si>
  <si>
    <t>Para el mes de Febrero  debido a dificultades aun persistentes en el mercado por stocks elevados, baja rotacion  debido a nivel de precios del mercado tan solo los distribuidores de arauca, casanare y tolima realizaron una compra limitada, esto represento solo el 71% de lo programado para el mes.</t>
  </si>
  <si>
    <t>Para el mes de Marzo tan solo arauca, casanare y tolima realizaron compra, con limitaciones para el transporte de mercancia a partir del 17 de marzo por emergencia sanitaria del Coronavid, esto represento solo el 57% de lo programado para el mes.</t>
  </si>
  <si>
    <t>Se realizo una venta de 5.040 unidades a Ecuador, esto represento solo el 31% de lo presupuestado.</t>
  </si>
  <si>
    <t>En ejecucion del plan comercial se logro la venta del 21% de la cantidades de litros programadas, ya en un inicio normal de operaciones de algunos clientes principalmente los fabricantes de licores.</t>
  </si>
  <si>
    <t>En ejecucion del plan comercial se logro la venta del 31% de la cantidades de litros programadas, ya en un inicio normal de operaciones de algunos clientes principalmente los fabricantes de licores.</t>
  </si>
  <si>
    <t>En ejecucion del plan comercial se logro la venta del 417% de la unidades programadas, esto debido a un incremento en la demanda por la emergencia sanitaria y la no disponibilidad de material por parte de miembros de la competencia.</t>
  </si>
  <si>
    <t>N/A</t>
  </si>
  <si>
    <t>No registra.</t>
  </si>
  <si>
    <t xml:space="preserve">No se consolidaron operaciones. </t>
  </si>
  <si>
    <t>Del total de los ingresos presupuestados para el  año 2020 la empresa cumplió con un 32,08% en el  primer trimestre del periodo.</t>
  </si>
  <si>
    <t>De los gastos presupuestados para el año 2020, la empresa ejecutó  en el primer trimestre del período un 19,15%.</t>
  </si>
  <si>
    <t>Por cada peso que la Empresa debe, cuenta con $7,2 pesos para cubrirlo</t>
  </si>
  <si>
    <t>Por cada peso que la Empresa debe, cuenta con $6,5 pesos para cubrirlo</t>
  </si>
  <si>
    <t>Por cada peso que la Empresa debe, cuenta con $9,12 pesos para cubrirlo</t>
  </si>
  <si>
    <t>Por cada peso de obligaciones corrientes que adeuda la Empresa se cuenta con $5,6 para cubrilos sin contar con la venta de sus inventarios.</t>
  </si>
  <si>
    <t>Por cada peso de obligaciones corrientes que adeuda la Empresa se cuenta con $5 para cubrilos sin contar con la venta de sus inventarios.</t>
  </si>
  <si>
    <t>Por cada peso de obligaciones corrientes que adeuda la Empresa se cuenta con $6,69 para cubrilos sin contar con la venta de sus inventarios.</t>
  </si>
  <si>
    <t>Del 100% del total de activos de la Empresa ha sido financiado en un 52,30% por recursos de terceros. Por cada $100 que la Empresa ha invertido, los acreedores han financiado $52,30.</t>
  </si>
  <si>
    <t>Del 100% del total de activos de la Empresa ha sido financiado en un 52,22% por recursos de terceros. Por cada $100 que la Empresa ha invertido, los acreedores han financiado $52,22.</t>
  </si>
  <si>
    <t>Del 100% del total de activos de la Empresa ha sido financiado en un 51,73% por recursos de terceros. Por cada $100 que la Empresa ha invertido, los acreedores han financiado $51,73.</t>
  </si>
  <si>
    <t>Por cada peso de ingreso que se genera,  la Empresa obiente $ 0,16 de utilidad antes de cubir los costos financieros e impuestos.</t>
  </si>
  <si>
    <t>Por cada peso de ingreso que se genera,  la Empresa obiente $ 0,20 de utilidad antes de cubir los costos financieros e impuestos.</t>
  </si>
  <si>
    <t>Por cada peso de Ingreso generado la Empresa obtuvo $ 0,51 despues de cubrir los costos financieros y los impuestos.</t>
  </si>
  <si>
    <t>Por cada peso de Ingreso generado la Empresa obtuvo $ 0,42 despues de cubrir los costos financieros y los impuestos.</t>
  </si>
  <si>
    <t>Por cada peso de Ingreso generado la Empresa obtuvo $ 0,12 despues de cubrir los costos financieros y los impuestos.</t>
  </si>
  <si>
    <t>A los inversionistas se le  generó un 0,1% de rentabilidad sobre su inversión durante  enero del 2020.</t>
  </si>
  <si>
    <t>A los inversionistas se le  generó un 0,2% de rentabilidad sobre su inversión durante  febrero del 2020.</t>
  </si>
  <si>
    <t>A los inversionistas se le  generó un 0,1% de rentabilidad sobre su inversión durante el primer trimestre del 2020, Efecto de la Emergencia Sanitaria Covid 19.</t>
  </si>
  <si>
    <t>&gt;= 100%</t>
  </si>
  <si>
    <t>&lt;= 81%</t>
  </si>
  <si>
    <t>&gt; 1,9</t>
  </si>
  <si>
    <t>&gt; 1.5</t>
  </si>
  <si>
    <t>&lt;= 70%</t>
  </si>
  <si>
    <t>&gt;= 25%</t>
  </si>
  <si>
    <t>&gt;= 15%</t>
  </si>
  <si>
    <t>Para el periodo enero 2020, se presento un aumento en el consumo de papel en un 983% , lo cual obedece a un aumento en la cantidad solicitada para efectos de generación de contratos, resoluciones, entre otros, tanto en resmas de carta como en oficio con una diferencia de 59 unidades.</t>
  </si>
  <si>
    <t>Para el periodo febrero 2020, se redujo el consumo de papel en un 51% comparado con la vigencia anterior, se presenta un consumo de 11  resmas de papel carta y 06 de papel oficio.</t>
  </si>
  <si>
    <t>Para el periodo enero de 2020, se atendieron oportunamente  el 100% de las reservas solicitadas de materias primas y/o insumos para producción.</t>
  </si>
  <si>
    <t>Para el periodo febrero de 2020, se atendieron oportunamente el 100% de las reservas solicitadas de materias primas y/o insumos para producción.</t>
  </si>
  <si>
    <t>La variación de la materia prima de alcohol del mes de enero  corresponde a merma del 0.11% que se encuentra dentro de los parámetros técnicos y en cantidad equivale a  292,42 litros y en valor a $941.129,21</t>
  </si>
  <si>
    <t>La variación de la materia prima de alcohol del mes de febrero  corresponde a merma del 0.97% que se acumulo con la del mes de enero en razón que se encuentra en proceso el acto administrativo que permite su registro  y en cantidad equivale a  942,23 litros y en valor a $3.032.523,89</t>
  </si>
  <si>
    <t>Frente al mismo periodo del año anterior se refleja un aumento en el consumo del  33%, debido a las actividades de traslado de tafia desde Choconta hacia Cota.</t>
  </si>
  <si>
    <t>Frente al mismo periodo del año anterior se refleja una disminución en el consumo del  5%.</t>
  </si>
  <si>
    <t>Para el periodo de enero 2019, se atendieron el 100% de los mantenimientos locativos a demanda.</t>
  </si>
  <si>
    <t>Para el periodo de febrero 2019, se atendieron el 100% de los mantenimientos locativos a demanda.</t>
  </si>
  <si>
    <t>Para el periodo marzo 2020, se presento un aumento en el consumo de papel en un 9% , tanto en resmas de carta como en oficio pasando de 21 a 20 y de 11 a 15 respectivamente, lo anterior en razón a generación de procesos de contratación del trimestre que fueron prorrogados en la vigencia anterior.</t>
  </si>
  <si>
    <t>Para el periodo marzo de 2020, se atendieron oportunamente  el 100% de las reservas solicitadas de materias primas y/o insumos para producción.</t>
  </si>
  <si>
    <t xml:space="preserve">El valor del contrato vigente es de $2.500.000.000 tiene una ejecucion de $1.259.191.550 correspondiente al recibo de Alcohol Exra Neutro de la Industria Licorera del Valle para la comercializacion y produccion.Este contrato corresponde a una adicion en recursos de la contratacion del año pasado y cuyas condiciones de la TRM cambiaron.
</t>
  </si>
  <si>
    <t xml:space="preserve">El valor del contrato vigente por $4.000.000.000  tiene una ejecucion de $2.1721.301.670 en el presente trimestre  correspondiente al recibo de las tafias de el proveedor Casa Santana para la produccion.Dicho contrato fue ejecutado en un 97,9% y su fecha de vencimiento es del 31 de marzo del presente año.
</t>
  </si>
  <si>
    <t xml:space="preserve">El valor del contrato vigente es de  $600.000.000 y  tuvo una ejecucion de $283.508.873 en el presente trimestre correspondiente al recibo de las etiquetas para la produccion del proveedor Panamericana  .
</t>
  </si>
  <si>
    <t>El contrato vigente con el proveedor Tetra pack corresponde a una adición de $1.083.451.500 y su ejecución es 0, en razón  que los pedidos se encuentran en transito porque la producción de envases tiene un termino de entrega de 90 días y se importan desde Brasil.</t>
  </si>
  <si>
    <t>No se ha suscrito contrato en el presente trimestre.</t>
  </si>
  <si>
    <t xml:space="preserve">El valor del contrato vigente es de  $1.083.451.500 y  tuvo una ejecución de $365.718.565 en el presente trimestre correspondiente al recibo de material de empaque del proveedor Cartón Colombia. Este contrato corresponde a una adición del contrato suscrito en la vigencia anterior, el total de su ejecución es del 99,8% y su vencimiento fue el día 28 de febrero del 2020.  .
</t>
  </si>
  <si>
    <t xml:space="preserve">El valor del contrato vigente es de  $1.680.000.000 y  tuvo una ejecución de $459.574.301  en el presente trimestre correspondiente al recibo de tapas y copas  del proveedor Tapas de las Americas.Este contrato corresponde a una adición del contrato suscrito en la vigencia anterior.
</t>
  </si>
  <si>
    <t>La variación de la materia prima de alcohol del mes de marzo  corresponde a merma del 0.18% que se encuentra dentro de los parámetros técnicos y en cantidad equivale a  470,58 litros y en valor a $1.557.698,31;este porcentaje de merma tiene una disminución frente a la del mes de febrero en razón que ingresaron 319.000 litros equivalentes a 8 mulas, lo que genera un cambio en la densidad por el mayor volumen almacenado, lo cual conlleva a que la medición inventario presente este tipo de fluctuaciones</t>
  </si>
  <si>
    <t>Frente al mismo periodo del año anterior se refleja disminucion consumo del  34%.</t>
  </si>
  <si>
    <t>Frente al mismo periodo del año anterior se refleja disminucion consumo del  73%.</t>
  </si>
  <si>
    <t>Frente al mismo periodo del año anterior se refleja disminucion consumo del  59%.</t>
  </si>
  <si>
    <t>Frente al mismo periodo del año anterior se refleja disminucion consumo del  47%.</t>
  </si>
  <si>
    <t>Para el periodo de marzo 2019, se atendieron el 100% de los mantenimientos locativos a demanda.</t>
  </si>
  <si>
    <t>Para el periodo de abril 2019, se atendieron el 100% de los mantenimientos locativos a demanda.</t>
  </si>
  <si>
    <t>Para el periodo de mayo 2019, se atendieron el 100% de los mantenimientos locativos a demanda.</t>
  </si>
  <si>
    <t>Para el periodo de junio 2019, se atendieron el 100% de los mantenimientos locativos a demanda.</t>
  </si>
  <si>
    <t>N.A</t>
  </si>
  <si>
    <t>Se realiza diagnostico de necesidades, formulacion y proceso de aprobacion del P.I.C. a ejecutar durante la presente vigencia</t>
  </si>
  <si>
    <t>N.A.</t>
  </si>
  <si>
    <t>N.A.
El Valor de este indicador esta distribuido asi: 30% para el proceso de diagnostico, formulacion y elaboracion del plan, el 70% restante esta asignado a la ejecucion de actividades inmersas en el cronograma aprobado)</t>
  </si>
  <si>
    <t>Se realiza diagnostico de necesidades, formulacion y proceso de aprobacion del Plan de bienestar social e Incentivos a ejecutar durante la presente vigencia</t>
  </si>
  <si>
    <t>Se realiza contrato para acondicionamiento fisico con Bodytech, el contrato actualmente se encuentra suspendido por temas de salud publica.
El Valor de este indicador esta distribuido asi: 30% para el proceso de diagnostico, formulacion y elaboracion del plan, el 70% restante esta asignado a la ejecucion de actividades inmersas en el cronograma aprobado)</t>
  </si>
  <si>
    <t>procesadas 463 novedades</t>
  </si>
  <si>
    <t>procesadas 522 novedades</t>
  </si>
  <si>
    <t>Se estima que hay un error del sistema biometrico alrededor de 3,4%</t>
  </si>
  <si>
    <t>Se estima que hay un error del sistema biometrico alrededor de 5,7%</t>
  </si>
  <si>
    <t>Sin accidentes laborales reportados</t>
  </si>
  <si>
    <t>Se realiza diagnostico, formulacion y aprobacion del plan de seguridad y salud en el trabajo, correspondiente a la presente vigencia</t>
  </si>
  <si>
    <t>Se adelantaron los tramites precontractuales de capacitacion en BPM, Reforma tributaria, mercadeo, ventas y coaching institucional.</t>
  </si>
  <si>
    <t xml:space="preserve">Se firmaron contratos de dotacion asi:
Jovical Botas de seguridad.
Celmy Vestidos y trajes.
Imacal Zapatos para vestidos y trajes.
Taller 84 Batas y manguillas.
Lec Lee Drill y camisetas para trabajadores de planta de produccion y mantenimiento.
</t>
  </si>
  <si>
    <t>procesadas 1024 novedades</t>
  </si>
  <si>
    <t>Se estima que hay un error del sistema biometrico alrededor de 4,0%</t>
  </si>
  <si>
    <t xml:space="preserve">
El Valor de este indicador esta distribuido asi: 30% para el proceso de diagnostico, formulacion y elaboracion del plan, el 70% restante esta asignado a la ejecucion de actividades inmersas en el cronograma aprobado)</t>
  </si>
  <si>
    <t>Se cuenta con la solicitud de pedido para el contrato que realizara la firm MyR para la intervension de clima organizacional y riesgo psicosocial de acuerdo a los estudios realizados en el 2019</t>
  </si>
  <si>
    <t>&gt; 90%</t>
  </si>
  <si>
    <t>&lt; = 5%</t>
  </si>
  <si>
    <t>&lt; = 10%</t>
  </si>
  <si>
    <t>7.86</t>
  </si>
  <si>
    <t>&lt; = 7.86</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</si>
  <si>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enero de 2019 se dio trámite a nueve (9)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</si>
  <si>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febrero de 2019 se dio trámite a dieciocho (18) solicitudes de control de legalidad.</t>
  </si>
  <si>
    <t>La oficina Asesora Jurídica realiza seguimiento a las solicitudes de asesoría jurídica y la oportunidad en su respuesta a través de una base de datos donde se registra la fecha de ingreso de la solicitud de asesoría o control de legalidad; De igual manera para brindar respuestas oportunas y con calidad realizamos una revisión periódica de la normatividad expedida a nivel nacional y  departamental. Durante el mes de marzo de 2019 se dio trámite a treinta y tres (33) solicitudes de control de legalidad.</t>
  </si>
  <si>
    <t>La Oficina Asesora Jurídica realiza un control mensual de procesos a través de la página de la Rama Judicial, constatando la información suministrada por los apoderados judiciaes externos y la empresa encargada del servicio de vigilancia y seguimiento a los procesos judiciales en que la ELC sea parte. Para el mes de enero de 2020, contamos con un (1) proceso ante la SIC en contra de DIAEGO Colombia S.A, setenta y dos (72) procesos penales donde la ELC actúa en calidad de víctima, veinticuatro (24) procesos judiciales ante la juriosdicción ordinaria, de los cuales en doce (12) es demandante la empresa.</t>
  </si>
  <si>
    <t>La Oficina Asesora Jurídica realiza un control mensual de procesos a través de la página de la Rama Judicial, constatando la información suministrada por los apoderados judiciaes externos y la empresa encargada del servicio de vigilancia y seguimiento a los procesos judiciales en que la ELC sea parte. Para el mes de febrero de 2020, contamos con un (1) proceso ante la SIC en contra de DIAEGO Colombia S.A, treinta y ocho (38) procesos penales donde la ELC actúa en calidad de víctima, treinta (30) procesos judiciales ante la juriosdicción ordinaria, de los cuales en catorce (14) es demandante la empresa.</t>
  </si>
  <si>
    <t>Durante el mes de enero de 2020 la Oficina Asesora Jurídica no recibió derechos de petición.</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</si>
  <si>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febrero la Oficina Asesora Jurisca contesto dos (2) derechos de petición dentro del término legal señalado para tal fin. (15 días, Art 14, ley 1755 de 2012).</t>
  </si>
  <si>
    <t>La Oficina Asesora Jurídica en aras de atender con calidad y oportunidad las solicitudes elevadas ante la Empresa, realiza el seguimiento y control de los derechos de petición radicados en la secretaria de la oficina, estableciendo su fecha de vencimiento para contestar en oportunidad. De igual manera es importante señalar que para dar respuesta de fondo, completa y con calidad a todas las solicitudes que se reciben en la oficina, se realiza una revisión periódica de la normatividad expedida a nivel nacional y departamental, durante el mes de marzo la Oficina Asesora Jurisca contesto dos (2) derechos de petición dentro del término legal señalado para tal fin. (15 días, Art 14, ley 1755 de 2012).</t>
  </si>
  <si>
    <t>Durante el mes de enero de 2020 la Oficina Asesora Jurídica no requirió efectuar ninguna acción de defensa.</t>
  </si>
  <si>
    <t>Durante el mes de febrero de 2020 la Oficina Asesora Jurídica no requirió efectuar  ninguna acción de defensa.</t>
  </si>
  <si>
    <t>Durante el mes de marzo de 2020 la Oficina Asesora Jurídica no requirió efectuar ninguna acción de defensa.</t>
  </si>
  <si>
    <t>La Oficina Asesora Jurídica cuenta con una base de datos a través de la cual es posible determinar que registros sanitarios, marcas, nombres o lemas comerciales, se encuentran próximos a vencerse; Ejecutado el seguimiento antes mencionado, durante el mes de enero no se requirió la realización de ningún trámite relacionado con propiedad intelectual ni regulación sanitaria.</t>
  </si>
  <si>
    <t>La Oficina Asesora Jurídica cuenta con una base de datos a través de la cual es posible determinar que registros sanitarios, marcas, nombres o lemas comerciales, se encuentran próximos a vencerse; Ejecutado el seguimiento antes mencionado, durante el mes de febrero se solicitó ante la SIC el registro de la marca EL PARCHE NECTAR, de igual manera se presentó ante el INVIMA solicitud de registro sanitario para el producto RON SANTAFE EXTRAVIEJO 6 AÑOS; por último se procedió a la renovación de  cincuenta y tres (53) dominios de internet.</t>
  </si>
  <si>
    <t>La Oficina Asesora Jurídica cuenta con una base de datos a través de la cual es posible determinar que registros sanitarios, marcas, nombres o lemas comerciales, se encuentran próximos a vencerse; Ejecutado el seguimiento antes mencionado, durante el mes de marzo de 2020 se solicitó ante el INVIMA, la renovación de TRES (3) registro sanitario, en modalidad ELABORAR Y EXPORTAR para los productos RON SANTAFE 4 AÑOS AÑEJO y RON SANTAFE RESERVA EXCLUIVA 8 AÑOS.</t>
  </si>
  <si>
    <t>Historico.</t>
  </si>
  <si>
    <t>Mitigar al 100%, los efectos de la competencia desleal.</t>
  </si>
  <si>
    <t xml:space="preserve">Para el mes de enero se reportaron en la plataforma Mesa de Ayuda (38) casos, los cuales fueron atentidos y solucionados oportunamente en su totalidad. Lo que nos permite mantener en total funcionamiento los sistemas de información.  </t>
  </si>
  <si>
    <t xml:space="preserve">Para el mes de febrero  se reportaron en la plataforma Mesa de Ayuda (53) casos, los cuales fueron atentidos y solucionados oportunamente en su totalidad. Lo que nos permite mantener en total funcionamiento los sistemas de información.  </t>
  </si>
  <si>
    <t xml:space="preserve">Para el mes de marzo  se reportaron en la plataforma Mesa de Ayuda (69) casos, los cuales fueron atentidos y solucionados oportunamente en su totalidad. Lo que nos permite mantener en total funcionamiento los sistemas de información.  </t>
  </si>
  <si>
    <t xml:space="preserve">A corte de enero de 2020 los módulos de FI, PSM y MM, presentan requerimientos los cuales obedecen a cambio de vigencia (cambio de consecutivos, traslados de periodos, traslado de saldos), lo cual genera los resultados obtenidos para el primer periodo de la vigencia 2020.
</t>
  </si>
  <si>
    <t>A corte de febrero de 2020 los módulos de PSM y MM, y FI presentan requerimientos los cuales obedecen a cambios referentes a (para el módulo PSM Conciliacion de Ejecucion Activa y Pasiva MM conciliacion de almacenes y FI capacitacion por cambio de personal.</t>
  </si>
  <si>
    <t xml:space="preserve">A corte de marzo de 2020 los módulos de FI, PP y MM presentan requerimientos los cuales obedecen a cambios referentes a (Para el modulo FI, apoyo para la generación de la información en materia de reportes tributarios nacionales, distritales y municipales lo cual conlleva a cumplimiento de obligación formal en términos de exógena y para el modulo MM, Continuacion de conciliacion de almacenes y PP creacion de nuevos productos). </t>
  </si>
  <si>
    <t>Se mantiene la valoración por parte del ente competente, lo anterior teniendo en cuenta que hasta el segundo semestre de la vigencia se llevara a cabo la medición correspondiente, sin embargo la gestión del Grupo Digital ha adelantado acciones con el fin de dar alcance a mejora continua en términos de cumplimiento, y por ende proyectarlos en el sitio web oficial de la Empresa de Licores de Cundinamarca.</t>
  </si>
  <si>
    <t>Historico</t>
  </si>
  <si>
    <t xml:space="preserve"> &gt;= 80%</t>
  </si>
  <si>
    <t>&lt;30%</t>
  </si>
  <si>
    <t>Medición Semestral.</t>
  </si>
  <si>
    <t xml:space="preserve">
Logramos aumentar el 20% en seguidores de las redes sociales de las marcas, Ron Santa Fe y Aguardiente Nectar. El número de seguidores no creció exponencialmente, pero la interacción de los seguidores con la marca incremento del 28% al 46%, siendo esto un factor importante para las comunicaciones de la empresa.  </t>
  </si>
  <si>
    <t xml:space="preserve">
Los stakeholders sintieron una cercanía con las publicaciones, puesto que aumentó exponencialmente en los likes y comentarios, por esta razón a través de su interacción se logró aumentar el número de seguidores de las redes en 60 puntos basicos frente al periodo de enero.</t>
  </si>
  <si>
    <t>La interacción lograda en el mes de marzo, fue la mejor según estadísticas de las redes sociales, puesto que se logró tener un promedio de interacción entre los seguidores y las marcas del 82%, lo anterior debido entre otras cosas a que las publicaciones de la compañía, resaltaron la responsabilidad social de la empresa frente a la situación de salud pública relacionada con la pandermia Covid -19. Se genero aumento de seguidores en 124.638 en el mes de marzo.</t>
  </si>
  <si>
    <t>Reporte Trimestral</t>
  </si>
  <si>
    <t>El primer trimestre del presente año, ha sido uno de los periodos en que más se han difundido piezas de comunicación de la compañía por diferentes canales, como la página web, los medios de comunicación aliados y las redes sociales de las marcas. Se recibieron cerca de 80 solicitudes de las cuales se le dio alcance a 64 de ellas logrando difusión de las mismas por los diferentes canales de comunicación.</t>
  </si>
  <si>
    <t>Periodos</t>
  </si>
  <si>
    <t>Seguidores</t>
  </si>
  <si>
    <t>Variación Absoluta</t>
  </si>
  <si>
    <t>Variación relativa</t>
  </si>
  <si>
    <t>Diciembre</t>
  </si>
  <si>
    <t>Enero</t>
  </si>
  <si>
    <t>Febrero</t>
  </si>
  <si>
    <t>Marzo</t>
  </si>
  <si>
    <t xml:space="preserve">Posicionamiento marcas nacional y regional </t>
  </si>
  <si>
    <t>Número de solicitudes difundidas</t>
  </si>
  <si>
    <t>Número de solictiudes de publicación</t>
  </si>
  <si>
    <t>70 - 100%</t>
  </si>
  <si>
    <t>Historio.</t>
  </si>
  <si>
    <t>EN EL MES DE ENERO SE ELABORARON  21 CONTRATOS, ENTRE CONTRATOS MARCO, CONVENIOS Y ORDENES DE COMPRA, ORDENES DE SERVICIO Y ADICIONES, DE LOS CUALES 21 FUERON REPORTADOS EN EL PORTAL SIA CONTRALORIA.</t>
  </si>
  <si>
    <t>EN EL MES DE ENERO SE ELABORARON 35 CONTRATOS, ENTRE CONTRATOS MARCO, CONVENIOS Y ORDENES DE COMPRA, ORDENES DE SERVICIO Y ADICIONES, DE LOS CUALES 35 FUERON REPORTADOS EN EL PORTAL SIA CONTRALORIA.</t>
  </si>
  <si>
    <t>EN EL MES DE ENERO SE ELABORARON 104 CONTRATOS, ENTRE CONTRATOS MARCO, CONVENIOS Y ORDENES DE COMPRA, ORDENES DE SERVICIO Y ADICIONES, DE LOS CUALES 104 FUERON REPORTADOS EN EL PORTAL SIA CONTRALORIA.</t>
  </si>
  <si>
    <t>70-100%</t>
  </si>
  <si>
    <t>Con respecto al consumo de agua de uso doméstico entre el periodo 2 y el periodo 1, se  evidencia que  se presentó un mayor consumo en el periodo 1, en comparación con el periodo 2.</t>
  </si>
  <si>
    <t>Con respecto al consumo de agua de uso doméstico entre el periodo 2 y el periodo 1, se  evidencia que para este ultimo se presento una reducción en el consumo doméstico.</t>
  </si>
  <si>
    <t>Con respecto al consumo de agua de uso doméstico entre el periodo 2 y el periodo 1, se  evidencia que para este último se presento una reducción en el consumo de agua doméstico.</t>
  </si>
  <si>
    <t xml:space="preserve">De acuerdo  al resultado obtenido se concluye que  para el mes de enero no hubo entrega del efluente industrial. </t>
  </si>
  <si>
    <t xml:space="preserve">De acuerdo  al resultado obtenido se concluye que  para el mes de febrero no hubo entrega del efluente industrial. </t>
  </si>
  <si>
    <t xml:space="preserve">De acuerdo  al resultado obtenido se concluye que  para el mes de marzo no hubo entrega del efluente industrial. </t>
  </si>
  <si>
    <t>De acuerdo al resultado obtenido se evidencia que en el  mes de enero hubo una reducción en la cantidad de residuosordinarios, debido a que en la empresa se encontraba menos personal que para el mes de diciembre de 2019.</t>
  </si>
  <si>
    <t xml:space="preserve">De acuerdo al resultado obtenido se evidencia que en el  mes de febrero  se presentó un incremento en la cantidad de residuosordinarios, debido a que para el mes de febrero ya se había  incorporado nuevamnete a la empresa personal OPS y temporales. </t>
  </si>
  <si>
    <t>De acuerdo al resultado obtenido se evidencia que  para el mes de marzo de 2020, se presentó una reducción  en la cantidad de residuosordinarios, debido a que en este último mes, se presentó un receso laboral debido a la situación epidemiológica presentada por el nuevo virus (COVID 19).</t>
  </si>
  <si>
    <t>De acuerdo al resultado obtenido se evidencia que en el  mes de enero hubo un incremento en la generación de los residuos peligrosos, lo cual obedece a los mantenimientos realizados a las lineas de producción durante el mes de enero de 2020.</t>
  </si>
  <si>
    <t>De acuerdo al resultado obtenido se evidencia que en el  mes de febrero hubo un incremento en la generación de los residuos peligrosos, lo cual obedece a la cantidad de placas filtrantes que se generaron debido a la producción de ron que se realizó durante este periodo.</t>
  </si>
  <si>
    <t>De acuerdo al resultado obtenido se evidencia que en el  mes de marzo hubo una reducción en la generación de los residuos peligrosos, debido a la baja producción.</t>
  </si>
  <si>
    <t xml:space="preserve">Historico </t>
  </si>
  <si>
    <t>Frente al historico disminución del 1% anual.</t>
  </si>
  <si>
    <t>Frente al historico disminución del 5% anual.</t>
  </si>
  <si>
    <t xml:space="preserve"> Los materiales recibidos en el período han cumplido, dentro de sus tolerancias, con las especificaciones técnicas establecidas.  Se recibieron etiquetas, contraetiquetas y tafia añeja 4-5 años.</t>
  </si>
  <si>
    <t xml:space="preserve"> Los materiales recibidos en el período han cumplido, dentro de sus tolerancias, con las especificaciones técnicas establecidas.  Se recibieron etiquetas, tafia añeja 4-5 años, tapas de seguridad y cajas de cartón corrugado.</t>
  </si>
  <si>
    <t xml:space="preserve"> Los materiales recibidos en el período han cumplido, dentro de sus tolerancias, con las especificaciones técnicas establecidas.  Se recibió alcohol extraneutro, tafias, etiquetas, copas y tapas de seguridad.</t>
  </si>
  <si>
    <t>Este indice de calidad se ve afectado por las no conformidades que se presentan durante el proceso productivo principalmente por problemas de etiquetado, sellado en unidades tetra brik, armado y sellado de las cajas de cartón corrugado, ente otras.</t>
  </si>
  <si>
    <t>Este indice de calidad se ve afectado por las no conformidades que se presentan durante el proceso productivo principalmente por problemas de etiquetado, nivel de llenado, sellados en unidades tetra brik, ente otras.</t>
  </si>
  <si>
    <t>No se han generado avisos en este primer trimestre.</t>
  </si>
  <si>
    <t>90-100%</t>
  </si>
  <si>
    <t>Disminución 5% anual.</t>
  </si>
  <si>
    <r>
      <t>Durante el mes se  presentaron 2,591  litros de recicle para convertirlo a tradicional  y 931 lts ron 4años con respecto al total preparado de este licor, este licor se utilizara posteriormente en la elaboracion de un nuevo producto.                                                                       =(Volumen de licor reciclado / Volumen Fabricado en el periodo )*100                                                                     =(2591/ 630043) *100 = 0,41%  + ron =(931/ 29897) *100 = 3,11%  (</t>
    </r>
    <r>
      <rPr>
        <sz val="12"/>
        <color rgb="FFFF0000"/>
        <rFont val="Arial"/>
        <family val="2"/>
      </rPr>
      <t>3,52</t>
    </r>
    <r>
      <rPr>
        <sz val="12"/>
        <color theme="1"/>
        <rFont val="Arial"/>
        <family val="2"/>
      </rPr>
      <t>)</t>
    </r>
  </si>
  <si>
    <t>&gt;90%</t>
  </si>
  <si>
    <t>&lt;10% (Minimo de condenas)</t>
  </si>
  <si>
    <t>1% anual</t>
  </si>
  <si>
    <t>MATRIZ DE INDICADORES DE GESTIÓN POR PROCESOS - VIGENCIA 2020</t>
  </si>
  <si>
    <t>De acuerdo con los términos establecidos por los entes de control, supervisión y vigilancia a los cuales reporta la Empresa de Licores de Cundinamarca.</t>
  </si>
  <si>
    <t>Presentación informes institucionales.</t>
  </si>
  <si>
    <t>(% avance real acumulado del plan estratégico de la ELC / % avance programado del plan estratégico de la ELC) .</t>
  </si>
  <si>
    <t xml:space="preserve">
Revisión, ajuste y consolidación del Plan de Acción 2020 de la ELC y publicación en página web de la Empresa.
</t>
  </si>
  <si>
    <t xml:space="preserve">Revisión y ajuste de formatos y anexos reportados por las Suberencias y Oficinas para la cuenta anual 2019 Contraloria de Cundinamarca.
Rendición cuenta anual 2019 en aplicativo SIA- Contralorías.
Respuesta solicitud de la Asamblea de Cundinamarca.
</t>
  </si>
  <si>
    <t xml:space="preserve">Revisión, ajuste, consolidación y remisión de información finaciera cuarto trimestre 2019 a Secretaría de Hacienda. </t>
  </si>
  <si>
    <t>Solicitud de informes de gestión a 31 de diciembre de 2019.
Revisión, ajuste y consolidación de informes de gestión y avance plan estrategico de subgerencias y oficinas.
Seguimiento planes de acción y avance en tableros de control
Revisión y consolidación informe de gestión en formato para entidades descentralizadas a 31 de diciembre 
El avance  acumulado del Plan Estratégico ELC "Nectar y Santafe dejando huella en Colombia y en el mundo 2016-2019" fué de 73.17%</t>
  </si>
  <si>
    <t>El seguimiento es trimestral</t>
  </si>
  <si>
    <t xml:space="preserve">El seguimiento es trimestral, por lo cual el avance se reporta en el mes de abril.
Solicitud informe de gestión primer trimestre de 2020 </t>
  </si>
  <si>
    <t>El seguimiento a los proyectos del plan estratégico se visualiza en los informes de gestión elaborados con corte a 31 de diciembre de 2019.
Se adelantó durante la vigencia 2019, la modernización de la planta de producción de licores con la implementación de tecnología de punta y la instalación de paneles solares para la generación de energía.</t>
  </si>
  <si>
    <t>El seguimiento es trimestral, por lo cual el avance se reporta en el informe de gestión del mes de abril.
Actualización del procedimiento y formatos por implementación de PS-SAP para gestión de proyectos.</t>
  </si>
  <si>
    <t>El 7,81% del total de los gastos incurridos por la Empresa de Licores de Cundinamarca en el mes de enero de 2020 corresponden a costos y gastos generados por parte de la Oficina asesora de planeacion y sistemas de información. Con respecto a enero de 2019 con un indicador de 5,90%, tuvo una variación de 1,91%.</t>
  </si>
  <si>
    <t>El 9,27% del total de los gastos incurridos por la Empresa de Licores de Cundinamarca en el mes de febrero de 2020 corresponden a costos y gastos generados por parte de la Oficina asesora de planeacion y sistemas de información. Con respecto a febrero de 2019 con un indicador de 13,68%, tuvo una variación de 4,41%.</t>
  </si>
  <si>
    <t>El 10,42% del total de los gastos incurridos por la Empresa de Licores de Cundinamarca en el mes de marzo de 2020 corresponden a costos y gastos generados por parte de la Oficina asesora de planeacion y sistemas de información. Con respecto a marzo de 2019 con un indicador de 11,83%, tuvo una variación de 1,41%.</t>
  </si>
  <si>
    <t>El 48,84% del total de los gastos incurridos por la Empresa de Licores de Cundinamarca en el mes de enero de 2020 corresponden a costos y gastos generados por parte de la subgerencia comercial. Con respecto a enero de 2019 con un indicador de 41,57%, tuvo una variación de 7,27%.</t>
  </si>
  <si>
    <t>El 29,36% del total de los gastos incurridos por la Empresa de Licores de Cundinamarca en el mes de febrero de 2020 corresponden a costos y gastos generados por parte de la Subgerencia Comercial.  Con respecto a febrero de 2019 con un indicador de 38,73%, tuvo una variación de 9,37%.</t>
  </si>
  <si>
    <t>El 16,64% del total de los gastos incurridos por la Empresa de Licores de Cundinamarca en el mes de marzo de 2020 corresponden a costos y gastos generados por parte de la Subgerencia Comercial. Con respecto a marzo de 2019 con un indicador de 34,17%, tuvo una variación de 17,53%. La variacion significativa obedece a la disminucion en gastos por cuenta de la pandemia.</t>
  </si>
  <si>
    <t>El 9,75% del total de los gastos incurridos por la Empresa de Licores de Cundinamarca en el mes de enero de 2020 corresponden a costos y gastos generados por parte de la Subgerencia financiera. Con respecto a enero de 2019 con un indicador de 10,73%, tuvo una variación de 0,98%.</t>
  </si>
  <si>
    <t>El 15,07% del total de los gastos incurridos por la Empresa de Licores de Cundinamarca en el mes de febrero de 2020 corresponden a costos y gastos generados por parte de la Subgerencia Financiera. Con respecto a febrero de 2019 con un indicador de 11,45%, tuvo una variación de 3,62%.</t>
  </si>
  <si>
    <t>El 9,39% del total de los gastos incurridos por la Empresa de Licores de Cundinamarca en el mes de marzo de 2020 corresponden a costos y gastos generados por parte de la Subgerencia Financiera. Con respecto a marzo de 2019 con un indicador de 17,69%, tuvo una variación de 8,60%.</t>
  </si>
  <si>
    <t>El 16,09% del total de los gastos incurridos por la Empresa de Licores de Cundinamarca en el mes de enero de 2020 corresponden a costos y gastos generados por parte de la subgerencia administrativa. Con respecto a enero de 2019 con un indicador de 27,68%, tuvo una variación de 11,59%.</t>
  </si>
  <si>
    <t>El 13,18% del total de los gastos incurridos por la Empresa de Licores de Cundinamarca en el mes de febrero de 2020 corresponden a costos y gastos generados por parte de la Subgerencia Administrativa. Con respecto a febrero de 2019 con un indicador de 14,31%, tuvo una variación de 1,13%.</t>
  </si>
  <si>
    <t>El 41,69% del total de los gastos incurridos por la Empresa de Licores de Cundinamarca en el mes de marzo de 2020 corresponden a costos y gastos generados por parte de la Subgerencia Administrativa. Con respecto a marzo de 2019 con un indicador de 12,45%, tuvo una variación de 29,24%. El area adminsitrativa ha venido asumiendo un gran porcentaje de gastos de produccion por su bajo volumen.</t>
  </si>
  <si>
    <t>El 7,92% del total de los gastos incurridos por la Empresa de Licores de Cundinamarca en el mes de enero de 2020 corresponden a costos y gastos generados por parte de la subgerencia de talento humano. Con respecto a enero de 2019 con un indicador de 5,34%, tuvo una variación de 2,58%.</t>
  </si>
  <si>
    <t>El 11,34% del total de los gastos incurridos por la Empresa de Licores de Cundinamarca en el mes de febrero de 2020 corresponden a costos y gastos generados por parte de la Subgerencia de Talento Humano.  Con respecto a febrero de 2019 con un indicador de 9,63%, tuvo una variación de 1,71%.</t>
  </si>
  <si>
    <t>El 9,07% del total de los gastos incurridos por la Empresa de Licores de Cundinamarca en el mes de marzo de 2020 corresponden a costos y gastos generados por parte de la Subgerencia de Talento Humano. Con respecto a marzo de 2019 con un indicador de 9,91%, tuvo una variación de 0,84%</t>
  </si>
  <si>
    <t>El 1,67% del total de los gastos incurridos por la Empresa de Licores de Cundinamarca en el mes de enero de 2020 corresponden a costos y gastos generados por parte de la Oficina de gestion juridica. Con respecto a enero de 2019 con un indicador de 2,16%, tuvo una variación de 0,49%.</t>
  </si>
  <si>
    <t>El 1,22% del total de los gastos incurridos por la Empresa de Licores de Cundinamarca en el mes de febrero de 2020 corresponden a costos y gastos generados por parte de la Oficina de Gestión Jurídica. Con respecto a febrero de 2019 con un indicador de 3,92%, tuvo una variación de 2,70%.</t>
  </si>
  <si>
    <t>El 2,88% del total de los gastos incurridos por la Empresa de Licores de Cundinamarca en el mes de marzo de 2020 corresponden a costos y gastos generados por parte de la Oficina de Gestión Jurídica.  Con respecto a marzo de 2019 con un indicador de 4,88%, tuvo una variación de 2%</t>
  </si>
  <si>
    <t>El 2,65% del total de los gastos incurridos por la Empresa de Licores de Cundinamarca en el mes de enero de 2020 corresponden a costos y gastos generados por parte de la Oficina de gestion contractual. Con respecto a enero de 2019 con un indicador de 1,68%, tuvo una variación de 0,67%.</t>
  </si>
  <si>
    <t>El 2,92% del total de los gastos incurridos por la Empresa de Licores de Cundinamarca en el mes de febrero de 2020 corresponden a costos y gastos generados por parte de la Oficina de gestión contractual. Con respecto a febrero de 2019 con un indicador de 2,55%, tuvo una variación de 0,37%.</t>
  </si>
  <si>
    <t>El 3,91% del total de los gastos incurridos por la Empresa de Licores de Cundinamarca en el mes de marzo de 2020 corresponden a costos y gastos generados por parte de la Oficina de gestión contractual. Con respecto a marzo de 2019 con un indicador de 2,35%, tuvo una variación de 1,56%</t>
  </si>
  <si>
    <t>El 1,40% del total de los gastos incurridos por la Empresa de Licores de Cundinamarca en el mes de enero de 2020 corresponden a costos y gastos generados por parte de la Oficina de control interno. Con respecto a enero de 2019 con un indicador de 1,08%, tuvo una variación de 0,32%.</t>
  </si>
  <si>
    <t>El 1,51% del total de los gastos incurridos por la Empresa de Licores de Cundinamarca en el mes de febrero de 2020 corresponden a costos y gastos generados por parte de la Oficina deControl Interno. Con respecto a febrero de 2019 con un indicador de 2,27%, tuvo una variación de 0,76%.</t>
  </si>
  <si>
    <t>El 2,06% del total de los gastos incurridos por la Empresa de Licores de Cundinamarca en el mes de marzo de 2020 corresponden a costos y gastos generados por parte de la Oficina deControl Interno.  Con respecto a marzo de 2019 con un indicador de 1,90%, tuvo una variación de 0,16%</t>
  </si>
  <si>
    <t>El 0,76% del total de los gastos incurridos por la Empresa de Licores de Cundinamarca en el mes de enero de 2020 corresponden a costos y gastos generados por parte de la Oficina de control disciplinario. Con respecto a enero de 2019 con un indicador de 0,67%, tuvo una variación de 0,09%.</t>
  </si>
  <si>
    <t>El 0,86% del total de los gastos incurridos por la Empresa de Licores de Cundinamarca en el mes de febrero de 2020 corresponden a costos y gastos generados por parte de la Oficina deControl Disciplinario Interno. Con respecto a febrero de 2019 con un indicador de 0,82%, tuvo una variación de 0,04%.</t>
  </si>
  <si>
    <t>El 0,52% del total de los gastos incurridos por la Empresa de Licores de Cundinamarca en el mes de marzo de 2020 corresponden a costos y gastos generados por parte de la Oficina deControl Disciplinario Interno. Con respecto a marzo de 2019 con un indicador de 0,36%, tuvo una variación de 0,16%</t>
  </si>
  <si>
    <t xml:space="preserve">Dando cumplimiento a la  Reso. 2014104000574-5 "por la cual se adopta y reglamenta la politica de administración de riesgos en la ELC…", se solicitó la revisión y actualización de los riesgos identificados en el Mapa de Riesgos para  cada uno de los macroprocesos.  
Igualmente se solicitó mediante correo institucional el informe de las actividades realizadas con corte al cuarto trimestre de 2019, obteniendo en este mes 3 de 16 entregas en oportunidad de los Macroprocesos: 
Gestión  Comercial, 
G. Contractual y 
C. de Calidad.
</t>
  </si>
  <si>
    <t xml:space="preserve">En este mes se recibió información del seguimiento realizado en el cuarto trimestre 2019,  por parte de los trece Macroprocesos: 
Direc. Estratégico,
SIG,
Gestión administrativa, 
TIC,  
Control Interno,
Gestión Jurídica,
Talento Humano,
Gestión Financiera,
Gestión de Producción,
Comunicaciones,
Gestión de Mantenimiento,
C. Disciplinario,
 y
 G. Ambiental.  
Una vez consolidado el informe del 4 trimestre, se envio a la Oficina de Control Interno para lo pertinente.
</t>
  </si>
  <si>
    <t>Se realiza Mesa de trabajo virtual con la profesional de la Oficina de Control Interno, donde se realiza retroalimentación  del seguimiento realizado al informe del cuarto trrimestre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</si>
</sst>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164" formatCode="&quot;$&quot;\ #,##0.00_);[Red]\(&quot;$&quot;\ #,##0.00\)"/>
    <numFmt numFmtId="165" formatCode="_(* #,##0_);_(* \(#,##0\);_(* &quot;-&quot;_);_(@_)"/>
    <numFmt numFmtId="166" formatCode="_(* #,##0.00_);_(* \(#,##0.00\);_(* &quot;-&quot;??_);_(@_)"/>
    <numFmt numFmtId="167" formatCode="0.0%"/>
    <numFmt numFmtId="168" formatCode="_-* #,##0.0_-;\-* #,##0.0_-;_-* &quot;-&quot;_-;_-@_-"/>
    <numFmt numFmtId="169" formatCode="_-* #,##0.00_-;\-* #,##0.00_-;_-* &quot;-&quot;_-;_-@_-"/>
    <numFmt numFmtId="170" formatCode="0.000%"/>
    <numFmt numFmtId="171" formatCode="0.000"/>
    <numFmt numFmtId="172" formatCode="0.0"/>
    <numFmt numFmtId="173" formatCode="_(* #,##0.00_);_(* \(#,##0.00\);_(* &quot;-&quot;_);_(@_)"/>
  </numFmts>
  <fonts count="25" x14ac:knownFonts="1">
    <font>
      <sz val="11"/>
      <color theme="1"/>
      <name val="Calibri"/>
      <family val="2"/>
      <scheme val="minor"/>
    </font>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b/>
      <sz val="12"/>
      <color theme="1"/>
      <name val="Arial"/>
      <family val="2"/>
    </font>
    <font>
      <sz val="12"/>
      <color rgb="FFFF0000"/>
      <name val="Arial"/>
      <family val="2"/>
    </font>
    <font>
      <sz val="12"/>
      <color theme="1"/>
      <name val="Arial"/>
      <family val="2"/>
    </font>
    <font>
      <sz val="10"/>
      <name val="Arial"/>
      <family val="2"/>
    </font>
    <font>
      <sz val="12"/>
      <color rgb="FFFFC000"/>
      <name val="Arial"/>
      <family val="2"/>
    </font>
    <font>
      <sz val="12"/>
      <color rgb="FF00B050"/>
      <name val="Arial"/>
      <family val="2"/>
    </font>
    <font>
      <sz val="12"/>
      <color theme="0"/>
      <name val="Arial"/>
      <family val="2"/>
    </font>
    <font>
      <u/>
      <sz val="11"/>
      <color theme="10"/>
      <name val="Calibri"/>
      <family val="2"/>
    </font>
    <font>
      <b/>
      <sz val="9"/>
      <color indexed="81"/>
      <name val="Tahoma"/>
      <family val="2"/>
    </font>
    <font>
      <sz val="9"/>
      <color indexed="81"/>
      <name val="Tahoma"/>
      <family val="2"/>
    </font>
    <font>
      <sz val="11"/>
      <color rgb="FFFF0000"/>
      <name val="Calibri"/>
      <family val="2"/>
    </font>
    <font>
      <sz val="11"/>
      <color rgb="FF00B050"/>
      <name val="Calibri"/>
      <family val="2"/>
    </font>
    <font>
      <sz val="11"/>
      <color theme="1"/>
      <name val="Calibri"/>
      <family val="2"/>
    </font>
    <font>
      <sz val="11"/>
      <color rgb="FFFF0000"/>
      <name val="Calibri"/>
      <family val="2"/>
      <scheme val="minor"/>
    </font>
    <font>
      <sz val="11"/>
      <color rgb="FF00B050"/>
      <name val="Calibri"/>
      <family val="2"/>
      <scheme val="minor"/>
    </font>
    <font>
      <sz val="11"/>
      <color rgb="FF000000"/>
      <name val="Calibri"/>
      <family val="2"/>
    </font>
    <font>
      <b/>
      <sz val="9"/>
      <color indexed="81"/>
      <name val="Tahoma"/>
      <charset val="1"/>
    </font>
    <font>
      <sz val="9"/>
      <color indexed="81"/>
      <name val="Tahoma"/>
      <charset val="1"/>
    </font>
    <font>
      <sz val="10"/>
      <color rgb="FF000000"/>
      <name val="Tahoma"/>
      <family val="2"/>
    </font>
  </fonts>
  <fills count="16">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0"/>
        <bgColor rgb="FFEAF1DD"/>
      </patternFill>
    </fill>
    <fill>
      <patternFill patternType="solid">
        <fgColor rgb="FFFF0000"/>
        <bgColor indexed="64"/>
      </patternFill>
    </fill>
    <fill>
      <patternFill patternType="solid">
        <fgColor theme="0"/>
        <bgColor rgb="FFDBE5F1"/>
      </patternFill>
    </fill>
    <fill>
      <patternFill patternType="solid">
        <fgColor theme="0"/>
        <bgColor rgb="FFFFCC00"/>
      </patternFill>
    </fill>
    <fill>
      <patternFill patternType="solid">
        <fgColor theme="0"/>
        <bgColor rgb="FFCCFFCC"/>
      </patternFill>
    </fill>
    <fill>
      <patternFill patternType="solid">
        <fgColor theme="0"/>
        <bgColor rgb="FFA5A5A5"/>
      </patternFill>
    </fill>
    <fill>
      <patternFill patternType="solid">
        <fgColor theme="0"/>
        <bgColor rgb="FFFFFFFF"/>
      </patternFill>
    </fill>
    <fill>
      <patternFill patternType="solid">
        <fgColor theme="0"/>
        <bgColor rgb="FF99CC00"/>
      </patternFill>
    </fill>
    <fill>
      <patternFill patternType="solid">
        <fgColor theme="4" tint="0.79998168889431442"/>
        <bgColor indexed="64"/>
      </patternFill>
    </fill>
    <fill>
      <patternFill patternType="solid">
        <fgColor theme="0"/>
        <bgColor rgb="FFFFFF00"/>
      </patternFill>
    </fill>
    <fill>
      <patternFill patternType="solid">
        <fgColor theme="0"/>
        <bgColor rgb="FFFF0000"/>
      </patternFill>
    </fill>
    <fill>
      <patternFill patternType="solid">
        <fgColor theme="0"/>
        <bgColor rgb="FF008000"/>
      </patternFill>
    </fill>
  </fills>
  <borders count="57">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rgb="FF000000"/>
      </left>
      <right style="thin">
        <color rgb="FF000000"/>
      </right>
      <top style="medium">
        <color rgb="FF000000"/>
      </top>
      <bottom style="medium">
        <color rgb="FF000000"/>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0" fontId="13" fillId="0" borderId="0" applyNumberFormat="0" applyFill="0" applyBorder="0" applyAlignment="0" applyProtection="0"/>
    <xf numFmtId="0" fontId="21" fillId="0" borderId="0"/>
    <xf numFmtId="41" fontId="21" fillId="0" borderId="0" applyFont="0" applyFill="0" applyBorder="0" applyAlignment="0" applyProtection="0"/>
    <xf numFmtId="9" fontId="21" fillId="0" borderId="0" applyFont="0" applyFill="0" applyBorder="0" applyAlignment="0" applyProtection="0"/>
  </cellStyleXfs>
  <cellXfs count="495">
    <xf numFmtId="0" fontId="0" fillId="0" borderId="0" xfId="0"/>
    <xf numFmtId="0" fontId="6"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2" fillId="4" borderId="4" xfId="0" applyFont="1" applyFill="1" applyBorder="1" applyAlignment="1">
      <alignment horizontal="left" vertical="center" wrapText="1"/>
    </xf>
    <xf numFmtId="0" fontId="5" fillId="2" borderId="4" xfId="4" applyFont="1" applyFill="1" applyBorder="1" applyAlignment="1">
      <alignment horizontal="left" vertical="center" wrapText="1"/>
    </xf>
    <xf numFmtId="0" fontId="8" fillId="2" borderId="4" xfId="0" applyFont="1" applyFill="1" applyBorder="1" applyAlignment="1">
      <alignment horizontal="center" vertical="center"/>
    </xf>
    <xf numFmtId="10" fontId="8" fillId="2" borderId="13" xfId="3"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9" fontId="8" fillId="2" borderId="13" xfId="3" applyFont="1" applyFill="1" applyBorder="1" applyAlignment="1">
      <alignment horizontal="center" vertical="center"/>
    </xf>
    <xf numFmtId="0" fontId="8"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5" fillId="2" borderId="4" xfId="4" applyFont="1" applyFill="1" applyBorder="1" applyAlignment="1">
      <alignment horizontal="left" vertical="center"/>
    </xf>
    <xf numFmtId="0" fontId="5" fillId="2" borderId="4" xfId="4" applyFont="1" applyFill="1" applyBorder="1" applyAlignment="1">
      <alignment horizontal="center" vertical="center"/>
    </xf>
    <xf numFmtId="9" fontId="8" fillId="2" borderId="4" xfId="0" applyNumberFormat="1" applyFont="1" applyFill="1" applyBorder="1" applyAlignment="1">
      <alignment horizontal="center" vertical="center" wrapText="1"/>
    </xf>
    <xf numFmtId="9" fontId="8" fillId="2" borderId="4" xfId="4" applyNumberFormat="1" applyFont="1" applyFill="1" applyBorder="1" applyAlignment="1">
      <alignment horizontal="center" vertical="center" wrapText="1"/>
    </xf>
    <xf numFmtId="0" fontId="8" fillId="2" borderId="4" xfId="4" applyFont="1" applyFill="1" applyBorder="1" applyAlignment="1">
      <alignment horizontal="left" vertical="center" wrapText="1"/>
    </xf>
    <xf numFmtId="9" fontId="8" fillId="2" borderId="4" xfId="3" applyFont="1" applyFill="1" applyBorder="1" applyAlignment="1">
      <alignment horizontal="center" vertical="center" wrapText="1"/>
    </xf>
    <xf numFmtId="0" fontId="8" fillId="2" borderId="4" xfId="0" applyFont="1" applyFill="1" applyBorder="1" applyAlignment="1">
      <alignment horizontal="left" vertical="center" wrapText="1"/>
    </xf>
    <xf numFmtId="9" fontId="8"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9" fontId="5" fillId="2" borderId="4" xfId="4" applyNumberFormat="1" applyFont="1" applyFill="1" applyBorder="1" applyAlignment="1">
      <alignment horizontal="center" vertical="center" wrapText="1"/>
    </xf>
    <xf numFmtId="0" fontId="5" fillId="2" borderId="4" xfId="4" applyFont="1" applyFill="1" applyBorder="1" applyAlignment="1">
      <alignment vertical="center" wrapText="1"/>
    </xf>
    <xf numFmtId="9" fontId="8" fillId="2" borderId="4" xfId="3" applyFont="1" applyFill="1" applyBorder="1" applyAlignment="1">
      <alignment horizontal="center" vertical="center"/>
    </xf>
    <xf numFmtId="9" fontId="5" fillId="2" borderId="4" xfId="3" applyFont="1" applyFill="1" applyBorder="1" applyAlignment="1">
      <alignment horizontal="center" vertical="center" wrapText="1"/>
    </xf>
    <xf numFmtId="10" fontId="8"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9" fontId="5" fillId="2" borderId="4" xfId="4" applyNumberFormat="1" applyFont="1" applyFill="1" applyBorder="1" applyAlignment="1">
      <alignment horizontal="left" vertical="center" wrapText="1"/>
    </xf>
    <xf numFmtId="9" fontId="5" fillId="2" borderId="4" xfId="0" applyNumberFormat="1" applyFont="1" applyFill="1" applyBorder="1" applyAlignment="1">
      <alignment horizontal="center" vertical="center" wrapText="1"/>
    </xf>
    <xf numFmtId="0" fontId="2" fillId="4" borderId="15" xfId="0" applyFont="1" applyFill="1" applyBorder="1" applyAlignment="1">
      <alignment horizontal="left" vertical="center" wrapText="1"/>
    </xf>
    <xf numFmtId="0" fontId="5" fillId="2" borderId="15" xfId="4" applyFont="1" applyFill="1" applyBorder="1" applyAlignment="1">
      <alignment horizontal="left" vertical="center"/>
    </xf>
    <xf numFmtId="0" fontId="5" fillId="2" borderId="15" xfId="4"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4" xfId="0" applyFont="1" applyFill="1" applyBorder="1" applyAlignment="1">
      <alignment vertical="center"/>
    </xf>
    <xf numFmtId="1" fontId="8" fillId="2" borderId="4" xfId="0" applyNumberFormat="1" applyFont="1" applyFill="1" applyBorder="1" applyAlignment="1">
      <alignment horizontal="center" vertical="center"/>
    </xf>
    <xf numFmtId="1" fontId="5" fillId="2" borderId="4" xfId="4" applyNumberFormat="1" applyFont="1" applyFill="1" applyBorder="1" applyAlignment="1">
      <alignment horizontal="center" vertical="center" wrapText="1"/>
    </xf>
    <xf numFmtId="10" fontId="5" fillId="2" borderId="4" xfId="3"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6" borderId="13" xfId="0" applyFont="1" applyFill="1" applyBorder="1" applyAlignment="1">
      <alignment vertical="center"/>
    </xf>
    <xf numFmtId="10" fontId="5" fillId="2" borderId="13" xfId="4" applyNumberFormat="1" applyFont="1" applyFill="1" applyBorder="1" applyAlignment="1">
      <alignment horizontal="center" vertical="center" wrapText="1"/>
    </xf>
    <xf numFmtId="10" fontId="5" fillId="2" borderId="13" xfId="1" applyNumberFormat="1" applyFont="1" applyFill="1" applyBorder="1" applyAlignment="1">
      <alignment horizontal="center" vertical="center" wrapText="1"/>
    </xf>
    <xf numFmtId="0" fontId="5" fillId="2" borderId="13" xfId="4" applyFont="1" applyFill="1" applyBorder="1" applyAlignment="1">
      <alignment vertical="center" wrapText="1"/>
    </xf>
    <xf numFmtId="0" fontId="2" fillId="4" borderId="4" xfId="0" applyFont="1" applyFill="1" applyBorder="1" applyAlignment="1">
      <alignment horizontal="center"/>
    </xf>
    <xf numFmtId="9" fontId="2" fillId="6" borderId="4" xfId="3" applyFont="1" applyFill="1" applyBorder="1" applyAlignment="1">
      <alignment horizontal="center" vertical="center"/>
    </xf>
    <xf numFmtId="164" fontId="2" fillId="6"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lignment vertical="center"/>
    </xf>
    <xf numFmtId="0" fontId="5" fillId="2" borderId="4" xfId="5" applyFont="1" applyFill="1" applyBorder="1" applyAlignment="1">
      <alignment horizontal="center" vertical="center" wrapText="1"/>
    </xf>
    <xf numFmtId="10" fontId="8" fillId="2" borderId="4" xfId="3" applyNumberFormat="1" applyFont="1" applyFill="1" applyBorder="1" applyAlignment="1">
      <alignment horizontal="center" vertical="center"/>
    </xf>
    <xf numFmtId="0" fontId="2" fillId="2" borderId="4" xfId="0" applyFont="1" applyFill="1" applyBorder="1" applyAlignment="1">
      <alignment horizontal="left" vertical="center" wrapText="1"/>
    </xf>
    <xf numFmtId="167" fontId="8" fillId="2" borderId="4" xfId="3" applyNumberFormat="1" applyFont="1" applyFill="1" applyBorder="1" applyAlignment="1">
      <alignment horizontal="center" vertical="center"/>
    </xf>
    <xf numFmtId="0" fontId="5" fillId="7" borderId="4" xfId="0" applyFont="1" applyFill="1" applyBorder="1" applyAlignment="1">
      <alignment horizontal="center" vertical="center" wrapText="1"/>
    </xf>
    <xf numFmtId="168" fontId="8" fillId="2" borderId="4" xfId="2" applyNumberFormat="1" applyFont="1" applyFill="1" applyBorder="1" applyAlignment="1">
      <alignment horizontal="center" vertical="center"/>
    </xf>
    <xf numFmtId="0" fontId="2" fillId="4" borderId="4" xfId="0" applyFont="1" applyFill="1" applyBorder="1" applyAlignment="1">
      <alignment vertical="center" wrapText="1"/>
    </xf>
    <xf numFmtId="0" fontId="2" fillId="4" borderId="15" xfId="0" applyFont="1" applyFill="1" applyBorder="1" applyAlignment="1">
      <alignment vertical="center" wrapText="1"/>
    </xf>
    <xf numFmtId="0" fontId="6" fillId="4" borderId="6" xfId="0" applyFont="1" applyFill="1" applyBorder="1" applyAlignment="1">
      <alignment vertical="center"/>
    </xf>
    <xf numFmtId="0" fontId="5" fillId="2" borderId="4" xfId="0" applyFont="1" applyFill="1" applyBorder="1" applyAlignment="1">
      <alignment horizontal="left" vertical="center" wrapText="1"/>
    </xf>
    <xf numFmtId="9" fontId="2" fillId="8" borderId="4" xfId="0" applyNumberFormat="1" applyFont="1" applyFill="1" applyBorder="1" applyAlignment="1">
      <alignment horizontal="center" vertical="center"/>
    </xf>
    <xf numFmtId="0" fontId="2" fillId="8" borderId="4" xfId="0" applyFont="1" applyFill="1" applyBorder="1" applyAlignment="1">
      <alignment horizontal="center" vertical="center"/>
    </xf>
    <xf numFmtId="0" fontId="5" fillId="2" borderId="4" xfId="5" applyFont="1" applyFill="1" applyBorder="1" applyAlignment="1">
      <alignment horizontal="left" vertical="center" wrapText="1"/>
    </xf>
    <xf numFmtId="10" fontId="8" fillId="2"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10" fontId="2" fillId="4" borderId="4" xfId="0" applyNumberFormat="1" applyFont="1" applyFill="1" applyBorder="1" applyAlignment="1">
      <alignment horizontal="center" vertical="center"/>
    </xf>
    <xf numFmtId="0" fontId="5" fillId="4" borderId="4" xfId="0" applyFont="1" applyFill="1" applyBorder="1" applyAlignment="1">
      <alignment horizontal="left" vertical="center" wrapText="1"/>
    </xf>
    <xf numFmtId="0" fontId="2" fillId="4" borderId="4" xfId="0" applyFont="1" applyFill="1" applyBorder="1" applyAlignment="1">
      <alignment vertical="center"/>
    </xf>
    <xf numFmtId="10" fontId="2" fillId="4" borderId="4" xfId="3" applyNumberFormat="1" applyFont="1" applyFill="1" applyBorder="1" applyAlignment="1">
      <alignment horizontal="center" vertical="center"/>
    </xf>
    <xf numFmtId="0" fontId="2" fillId="2" borderId="4" xfId="0" applyFont="1" applyFill="1" applyBorder="1" applyAlignment="1">
      <alignment horizontal="left" vertical="center"/>
    </xf>
    <xf numFmtId="9" fontId="2" fillId="4" borderId="4" xfId="3" applyFont="1" applyFill="1" applyBorder="1" applyAlignment="1">
      <alignment horizontal="center" vertical="center"/>
    </xf>
    <xf numFmtId="9" fontId="2" fillId="4" borderId="4" xfId="0" applyNumberFormat="1" applyFont="1" applyFill="1" applyBorder="1" applyAlignment="1">
      <alignment horizontal="center" vertical="center"/>
    </xf>
    <xf numFmtId="0" fontId="6" fillId="8" borderId="4" xfId="0" applyFont="1" applyFill="1" applyBorder="1" applyAlignment="1">
      <alignment horizontal="center" vertical="center" wrapText="1"/>
    </xf>
    <xf numFmtId="0" fontId="6" fillId="4" borderId="4" xfId="0" applyFont="1" applyFill="1" applyBorder="1" applyAlignment="1">
      <alignment vertical="center" wrapText="1"/>
    </xf>
    <xf numFmtId="10" fontId="5" fillId="8" borderId="13" xfId="0" applyNumberFormat="1" applyFont="1" applyFill="1" applyBorder="1" applyAlignment="1">
      <alignment horizontal="center" vertical="center" wrapText="1"/>
    </xf>
    <xf numFmtId="9" fontId="2" fillId="7" borderId="4" xfId="0" applyNumberFormat="1" applyFont="1" applyFill="1" applyBorder="1" applyAlignment="1">
      <alignment horizontal="center" vertical="center"/>
    </xf>
    <xf numFmtId="9" fontId="2" fillId="7" borderId="4" xfId="0" applyNumberFormat="1" applyFont="1" applyFill="1" applyBorder="1" applyAlignment="1">
      <alignment horizontal="center" vertical="center" wrapText="1"/>
    </xf>
    <xf numFmtId="9" fontId="2" fillId="2" borderId="0" xfId="3" applyFont="1" applyFill="1" applyAlignment="1">
      <alignment horizontal="center" vertical="center"/>
    </xf>
    <xf numFmtId="9" fontId="2" fillId="2" borderId="4" xfId="3" applyFont="1" applyFill="1" applyBorder="1" applyAlignment="1">
      <alignment horizontal="center" vertical="center"/>
    </xf>
    <xf numFmtId="0" fontId="5" fillId="7" borderId="4" xfId="0" applyFont="1" applyFill="1" applyBorder="1" applyAlignment="1">
      <alignment horizontal="left" vertical="center" wrapText="1"/>
    </xf>
    <xf numFmtId="9" fontId="2" fillId="4" borderId="4" xfId="3" applyNumberFormat="1" applyFont="1" applyFill="1" applyBorder="1" applyAlignment="1">
      <alignment horizontal="center" vertical="center"/>
    </xf>
    <xf numFmtId="0" fontId="2" fillId="4" borderId="4" xfId="0" applyFont="1" applyFill="1" applyBorder="1" applyAlignment="1">
      <alignment horizontal="left" wrapText="1"/>
    </xf>
    <xf numFmtId="9" fontId="2" fillId="4" borderId="4" xfId="0" applyNumberFormat="1"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3" borderId="15" xfId="0" applyFont="1" applyFill="1" applyBorder="1" applyAlignment="1">
      <alignment vertical="center" wrapText="1"/>
    </xf>
    <xf numFmtId="9" fontId="8" fillId="2" borderId="15" xfId="0" applyNumberFormat="1" applyFont="1" applyFill="1" applyBorder="1" applyAlignment="1">
      <alignment horizontal="center" vertical="center"/>
    </xf>
    <xf numFmtId="0" fontId="2" fillId="4" borderId="4" xfId="0" applyFont="1" applyFill="1" applyBorder="1"/>
    <xf numFmtId="0" fontId="2" fillId="4" borderId="4" xfId="0" applyFont="1" applyFill="1" applyBorder="1" applyAlignment="1">
      <alignment horizontal="left"/>
    </xf>
    <xf numFmtId="170" fontId="8" fillId="2" borderId="4" xfId="3" applyNumberFormat="1" applyFont="1" applyFill="1" applyBorder="1" applyAlignment="1">
      <alignment horizontal="center" vertical="center"/>
    </xf>
    <xf numFmtId="0" fontId="6" fillId="8" borderId="4" xfId="0" applyFont="1" applyFill="1" applyBorder="1" applyAlignment="1">
      <alignment vertical="center"/>
    </xf>
    <xf numFmtId="0" fontId="5" fillId="8" borderId="4" xfId="0" applyFont="1" applyFill="1" applyBorder="1" applyAlignment="1">
      <alignment horizontal="center" vertical="center" wrapText="1"/>
    </xf>
    <xf numFmtId="166" fontId="5" fillId="8" borderId="4" xfId="1" applyFont="1" applyFill="1" applyBorder="1" applyAlignment="1">
      <alignment vertical="center" wrapText="1"/>
    </xf>
    <xf numFmtId="0" fontId="5" fillId="8" borderId="4" xfId="0" applyFont="1" applyFill="1" applyBorder="1" applyAlignment="1">
      <alignment horizontal="left" vertical="center" wrapText="1"/>
    </xf>
    <xf numFmtId="166" fontId="5" fillId="8" borderId="4" xfId="1" applyNumberFormat="1" applyFont="1" applyFill="1" applyBorder="1" applyAlignment="1">
      <alignment vertical="center" wrapText="1"/>
    </xf>
    <xf numFmtId="0" fontId="2" fillId="2" borderId="4" xfId="0" applyFont="1" applyFill="1" applyBorder="1" applyAlignment="1">
      <alignment vertical="center"/>
    </xf>
    <xf numFmtId="166" fontId="5" fillId="8" borderId="4" xfId="1" applyFont="1" applyFill="1" applyBorder="1" applyAlignment="1">
      <alignment horizontal="center" vertical="center" wrapText="1"/>
    </xf>
    <xf numFmtId="0" fontId="5" fillId="8" borderId="4" xfId="0" applyFont="1" applyFill="1" applyBorder="1" applyAlignment="1">
      <alignment horizontal="right" vertical="center" wrapText="1"/>
    </xf>
    <xf numFmtId="0" fontId="6" fillId="4" borderId="13" xfId="0" applyFont="1" applyFill="1" applyBorder="1" applyAlignment="1">
      <alignment horizontal="center" vertical="center" wrapText="1"/>
    </xf>
    <xf numFmtId="0" fontId="5" fillId="8" borderId="1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 fillId="4" borderId="5" xfId="0" applyFont="1" applyFill="1" applyBorder="1" applyAlignment="1">
      <alignment horizontal="left"/>
    </xf>
    <xf numFmtId="0" fontId="2" fillId="4" borderId="13" xfId="0" applyFont="1" applyFill="1" applyBorder="1" applyAlignment="1">
      <alignment vertical="center" wrapText="1"/>
    </xf>
    <xf numFmtId="9" fontId="5" fillId="8" borderId="4" xfId="0" applyNumberFormat="1" applyFont="1" applyFill="1" applyBorder="1" applyAlignment="1">
      <alignment horizontal="center" vertical="center"/>
    </xf>
    <xf numFmtId="0" fontId="5" fillId="9" borderId="4" xfId="0" applyFont="1" applyFill="1" applyBorder="1" applyAlignment="1">
      <alignment horizontal="left" vertical="center" wrapText="1"/>
    </xf>
    <xf numFmtId="0" fontId="5" fillId="8" borderId="16" xfId="0" applyFont="1" applyFill="1" applyBorder="1" applyAlignment="1">
      <alignment horizontal="center" vertical="center" wrapText="1"/>
    </xf>
    <xf numFmtId="170" fontId="5" fillId="8" borderId="4" xfId="3" applyNumberFormat="1" applyFont="1" applyFill="1" applyBorder="1" applyAlignment="1">
      <alignment horizontal="left" vertical="center" wrapText="1"/>
    </xf>
    <xf numFmtId="0" fontId="5" fillId="2" borderId="4"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70" fontId="5" fillId="2" borderId="4" xfId="3" applyNumberFormat="1" applyFont="1" applyFill="1" applyBorder="1" applyAlignment="1">
      <alignment horizontal="left" vertical="center" wrapText="1"/>
    </xf>
    <xf numFmtId="171" fontId="5" fillId="8" borderId="4"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0" fontId="5" fillId="10" borderId="18" xfId="0" applyFont="1" applyFill="1" applyBorder="1" applyAlignment="1">
      <alignment horizontal="left" vertical="center" wrapText="1"/>
    </xf>
    <xf numFmtId="0" fontId="6" fillId="8" borderId="4" xfId="0" applyFont="1" applyFill="1" applyBorder="1" applyAlignment="1">
      <alignment vertical="center" wrapText="1"/>
    </xf>
    <xf numFmtId="10" fontId="5" fillId="8" borderId="4" xfId="0" applyNumberFormat="1" applyFont="1" applyFill="1" applyBorder="1" applyAlignment="1">
      <alignment horizontal="center" vertical="center" wrapText="1"/>
    </xf>
    <xf numFmtId="9" fontId="5" fillId="8" borderId="4"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9" fontId="5" fillId="8" borderId="4" xfId="3" applyFont="1" applyFill="1" applyBorder="1" applyAlignment="1">
      <alignment horizontal="center" vertical="center" wrapText="1"/>
    </xf>
    <xf numFmtId="0" fontId="2" fillId="8" borderId="4" xfId="0" applyFont="1" applyFill="1" applyBorder="1" applyAlignment="1">
      <alignment horizontal="left" vertical="center" wrapText="1"/>
    </xf>
    <xf numFmtId="9" fontId="2" fillId="8" borderId="4" xfId="3" applyFont="1" applyFill="1" applyBorder="1" applyAlignment="1">
      <alignment horizontal="center" vertical="center"/>
    </xf>
    <xf numFmtId="9" fontId="5" fillId="9" borderId="4" xfId="3" applyFont="1" applyFill="1" applyBorder="1" applyAlignment="1">
      <alignment horizontal="center" vertical="center" wrapText="1"/>
    </xf>
    <xf numFmtId="0" fontId="6" fillId="8" borderId="4" xfId="0" applyFont="1" applyFill="1" applyBorder="1" applyAlignment="1">
      <alignment horizontal="left" vertical="center"/>
    </xf>
    <xf numFmtId="0" fontId="5" fillId="9" borderId="4" xfId="0" applyFont="1" applyFill="1" applyBorder="1" applyAlignment="1">
      <alignment horizontal="center" vertical="center" wrapText="1"/>
    </xf>
    <xf numFmtId="170" fontId="2" fillId="8" borderId="4" xfId="0" applyNumberFormat="1" applyFont="1" applyFill="1" applyBorder="1" applyAlignment="1">
      <alignment horizontal="center" vertical="center"/>
    </xf>
    <xf numFmtId="167" fontId="2" fillId="8" borderId="4" xfId="0" applyNumberFormat="1" applyFont="1" applyFill="1" applyBorder="1" applyAlignment="1">
      <alignment horizontal="center" vertical="center"/>
    </xf>
    <xf numFmtId="0" fontId="2" fillId="8" borderId="4" xfId="0" applyFont="1" applyFill="1" applyBorder="1" applyAlignment="1">
      <alignment horizontal="left" wrapText="1"/>
    </xf>
    <xf numFmtId="9"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9" fontId="2" fillId="8" borderId="4" xfId="0" applyNumberFormat="1" applyFont="1" applyFill="1" applyBorder="1" applyAlignment="1">
      <alignment horizontal="center" wrapText="1"/>
    </xf>
    <xf numFmtId="0" fontId="2" fillId="2" borderId="14" xfId="0" applyFont="1" applyFill="1" applyBorder="1" applyAlignment="1">
      <alignment horizontal="left" vertical="center" wrapText="1"/>
    </xf>
    <xf numFmtId="0" fontId="6" fillId="8" borderId="0" xfId="0" applyFont="1" applyFill="1" applyBorder="1" applyAlignment="1">
      <alignment horizontal="center" vertical="center" wrapText="1"/>
    </xf>
    <xf numFmtId="0" fontId="6" fillId="8" borderId="0" xfId="0" applyFont="1" applyFill="1" applyBorder="1" applyAlignment="1">
      <alignment vertical="center"/>
    </xf>
    <xf numFmtId="0" fontId="2" fillId="4" borderId="0" xfId="0" applyFont="1" applyFill="1" applyBorder="1" applyAlignment="1">
      <alignment horizontal="left" vertical="center" wrapText="1"/>
    </xf>
    <xf numFmtId="0" fontId="2" fillId="8" borderId="0" xfId="0" applyFont="1" applyFill="1" applyBorder="1" applyAlignment="1">
      <alignment horizontal="center"/>
    </xf>
    <xf numFmtId="0" fontId="2" fillId="8" borderId="0" xfId="0" applyFont="1" applyFill="1" applyBorder="1" applyAlignment="1">
      <alignment horizontal="left" wrapText="1"/>
    </xf>
    <xf numFmtId="0" fontId="5" fillId="8" borderId="0" xfId="0" applyFont="1" applyFill="1" applyBorder="1" applyAlignment="1">
      <alignment horizontal="left" vertical="center" wrapText="1"/>
    </xf>
    <xf numFmtId="0" fontId="5" fillId="8" borderId="0" xfId="0" applyFont="1" applyFill="1" applyBorder="1" applyAlignment="1">
      <alignment horizontal="center" vertical="center" wrapText="1"/>
    </xf>
    <xf numFmtId="0" fontId="2" fillId="8" borderId="0" xfId="0" applyFont="1" applyFill="1" applyBorder="1" applyAlignment="1">
      <alignment horizontal="center" wrapText="1"/>
    </xf>
    <xf numFmtId="0" fontId="5" fillId="2" borderId="0" xfId="4" applyFont="1" applyFill="1" applyBorder="1" applyAlignment="1">
      <alignment horizontal="center" vertical="center" wrapText="1"/>
    </xf>
    <xf numFmtId="0" fontId="8" fillId="2" borderId="0"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left"/>
    </xf>
    <xf numFmtId="0" fontId="2" fillId="8" borderId="0" xfId="0" applyFont="1" applyFill="1" applyBorder="1"/>
    <xf numFmtId="0" fontId="2"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Alignment="1">
      <alignment horizontal="center"/>
    </xf>
    <xf numFmtId="0" fontId="3" fillId="2" borderId="0" xfId="0" applyFont="1" applyFill="1" applyAlignment="1">
      <alignment vertical="center"/>
    </xf>
    <xf numFmtId="0" fontId="2" fillId="2" borderId="0" xfId="0" applyFont="1" applyFill="1"/>
    <xf numFmtId="0" fontId="3" fillId="2" borderId="0" xfId="0" applyFont="1" applyFill="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horizontal="center" wrapText="1"/>
    </xf>
    <xf numFmtId="0" fontId="2" fillId="2" borderId="0" xfId="0" applyFont="1" applyFill="1" applyAlignment="1">
      <alignment horizontal="center" vertical="center" wrapText="1"/>
    </xf>
    <xf numFmtId="9" fontId="3" fillId="2" borderId="0" xfId="3" applyFont="1" applyFill="1" applyAlignment="1">
      <alignment vertical="center"/>
    </xf>
    <xf numFmtId="0" fontId="0" fillId="0" borderId="13" xfId="0" applyBorder="1" applyAlignment="1">
      <alignment vertical="center"/>
    </xf>
    <xf numFmtId="0" fontId="0" fillId="0" borderId="27" xfId="0" applyBorder="1" applyAlignment="1">
      <alignment vertical="center" wrapText="1"/>
    </xf>
    <xf numFmtId="0" fontId="0" fillId="0" borderId="29" xfId="0" applyFont="1" applyBorder="1" applyAlignment="1">
      <alignment horizontal="center" vertical="center" wrapText="1"/>
    </xf>
    <xf numFmtId="0" fontId="0" fillId="0" borderId="30" xfId="0" applyBorder="1" applyAlignment="1">
      <alignment vertical="center" wrapText="1"/>
    </xf>
    <xf numFmtId="0" fontId="0" fillId="0" borderId="29" xfId="0" applyBorder="1" applyAlignment="1">
      <alignment horizontal="center" vertical="center" wrapText="1"/>
    </xf>
    <xf numFmtId="0" fontId="0" fillId="0" borderId="4" xfId="0" applyBorder="1"/>
    <xf numFmtId="0" fontId="16" fillId="0" borderId="32" xfId="0" applyFont="1" applyBorder="1"/>
    <xf numFmtId="172" fontId="16" fillId="0" borderId="32" xfId="0" applyNumberFormat="1" applyFont="1" applyBorder="1"/>
    <xf numFmtId="0" fontId="17" fillId="0" borderId="32" xfId="0" applyFont="1" applyBorder="1"/>
    <xf numFmtId="0" fontId="18" fillId="2" borderId="32" xfId="0" applyFont="1" applyFill="1" applyBorder="1"/>
    <xf numFmtId="0" fontId="16" fillId="2" borderId="32" xfId="0" applyFont="1" applyFill="1" applyBorder="1"/>
    <xf numFmtId="0" fontId="0" fillId="0" borderId="34" xfId="0" applyBorder="1"/>
    <xf numFmtId="0" fontId="18" fillId="2" borderId="35" xfId="0" applyFont="1" applyFill="1" applyBorder="1"/>
    <xf numFmtId="0" fontId="16" fillId="0" borderId="0" xfId="0" applyFont="1" applyAlignment="1">
      <alignment horizontal="center" vertical="center" wrapText="1"/>
    </xf>
    <xf numFmtId="0" fontId="17" fillId="0" borderId="0" xfId="0" applyFont="1" applyAlignment="1">
      <alignment horizontal="center" vertical="center" wrapText="1"/>
    </xf>
    <xf numFmtId="2" fontId="5" fillId="2" borderId="4" xfId="0" applyNumberFormat="1" applyFont="1" applyFill="1" applyBorder="1" applyAlignment="1">
      <alignment horizontal="center" vertical="center" wrapText="1"/>
    </xf>
    <xf numFmtId="0" fontId="8" fillId="2" borderId="4" xfId="0" applyFont="1" applyFill="1" applyBorder="1" applyAlignment="1">
      <alignment vertical="center" wrapText="1"/>
    </xf>
    <xf numFmtId="0" fontId="8" fillId="2" borderId="4" xfId="0" applyFont="1" applyFill="1" applyBorder="1" applyAlignment="1">
      <alignment wrapText="1"/>
    </xf>
    <xf numFmtId="10" fontId="2" fillId="8" borderId="4" xfId="3" applyNumberFormat="1" applyFont="1" applyFill="1" applyBorder="1" applyAlignment="1">
      <alignment horizontal="center" vertical="center"/>
    </xf>
    <xf numFmtId="9" fontId="2" fillId="4" borderId="4" xfId="3" applyFont="1" applyFill="1" applyBorder="1" applyAlignment="1">
      <alignment horizontal="center" vertical="center" wrapText="1"/>
    </xf>
    <xf numFmtId="9" fontId="0" fillId="0" borderId="0" xfId="3" applyFont="1"/>
    <xf numFmtId="1" fontId="0" fillId="0" borderId="0" xfId="0" applyNumberFormat="1"/>
    <xf numFmtId="2" fontId="0" fillId="0" borderId="0" xfId="0" applyNumberFormat="1"/>
    <xf numFmtId="0" fontId="0" fillId="5" borderId="0" xfId="0" applyFill="1"/>
    <xf numFmtId="0" fontId="19" fillId="2" borderId="0" xfId="0" applyFont="1" applyFill="1"/>
    <xf numFmtId="0" fontId="19" fillId="0" borderId="0" xfId="0" applyFont="1" applyAlignment="1">
      <alignment vertical="center"/>
    </xf>
    <xf numFmtId="2" fontId="16" fillId="2" borderId="32" xfId="0" applyNumberFormat="1" applyFont="1" applyFill="1" applyBorder="1"/>
    <xf numFmtId="172" fontId="19" fillId="0" borderId="0" xfId="0" applyNumberFormat="1" applyFont="1" applyAlignment="1">
      <alignment vertical="center"/>
    </xf>
    <xf numFmtId="2" fontId="7" fillId="2" borderId="4" xfId="0" applyNumberFormat="1" applyFont="1" applyFill="1" applyBorder="1" applyAlignment="1">
      <alignment horizontal="center" vertical="center"/>
    </xf>
    <xf numFmtId="0" fontId="20" fillId="0" borderId="0" xfId="0" applyFont="1" applyAlignment="1">
      <alignment vertical="center"/>
    </xf>
    <xf numFmtId="173" fontId="19" fillId="0" borderId="0" xfId="2" applyNumberFormat="1" applyFont="1" applyAlignment="1">
      <alignment vertical="center"/>
    </xf>
    <xf numFmtId="0" fontId="8" fillId="2" borderId="4" xfId="0" applyFont="1" applyFill="1" applyBorder="1" applyAlignment="1">
      <alignment horizontal="left" vertical="center"/>
    </xf>
    <xf numFmtId="0" fontId="8" fillId="2" borderId="4" xfId="0" applyFont="1" applyFill="1" applyBorder="1" applyAlignment="1">
      <alignment horizontal="left" wrapText="1"/>
    </xf>
    <xf numFmtId="10" fontId="8" fillId="2" borderId="4" xfId="3" applyNumberFormat="1" applyFont="1" applyFill="1" applyBorder="1" applyAlignment="1">
      <alignment vertical="center"/>
    </xf>
    <xf numFmtId="10" fontId="5" fillId="8" borderId="13" xfId="3" applyNumberFormat="1" applyFont="1" applyFill="1" applyBorder="1" applyAlignment="1">
      <alignment horizontal="center" vertical="center" wrapText="1"/>
    </xf>
    <xf numFmtId="10" fontId="5" fillId="2" borderId="13" xfId="3" applyNumberFormat="1" applyFont="1" applyFill="1" applyBorder="1" applyAlignment="1">
      <alignment horizontal="center" vertical="center" wrapText="1"/>
    </xf>
    <xf numFmtId="10" fontId="5" fillId="8" borderId="4" xfId="3" applyNumberFormat="1" applyFont="1" applyFill="1" applyBorder="1" applyAlignment="1">
      <alignment horizontal="center" vertical="center" wrapText="1"/>
    </xf>
    <xf numFmtId="9" fontId="8" fillId="2" borderId="0" xfId="3" applyFont="1" applyFill="1" applyAlignment="1">
      <alignment horizontal="center" vertical="center"/>
    </xf>
    <xf numFmtId="9" fontId="5" fillId="2" borderId="4" xfId="3" applyFont="1" applyFill="1" applyBorder="1" applyAlignment="1">
      <alignment horizontal="left" vertical="center" wrapText="1"/>
    </xf>
    <xf numFmtId="0" fontId="2" fillId="2" borderId="0" xfId="0" applyFont="1" applyFill="1" applyBorder="1" applyAlignment="1">
      <alignment horizontal="left" wrapText="1"/>
    </xf>
    <xf numFmtId="0" fontId="2" fillId="8" borderId="0" xfId="0" applyFont="1" applyFill="1" applyBorder="1" applyAlignment="1">
      <alignment horizontal="left" vertical="center"/>
    </xf>
    <xf numFmtId="0" fontId="2" fillId="2" borderId="0" xfId="0" applyFont="1" applyFill="1" applyAlignment="1">
      <alignment horizontal="left" vertical="center"/>
    </xf>
    <xf numFmtId="0" fontId="2" fillId="4" borderId="4" xfId="0" applyFont="1" applyFill="1" applyBorder="1" applyAlignment="1">
      <alignment horizontal="left" vertical="center"/>
    </xf>
    <xf numFmtId="10" fontId="2" fillId="4" borderId="4" xfId="0" applyNumberFormat="1" applyFont="1" applyFill="1" applyBorder="1" applyAlignment="1">
      <alignment horizontal="left" vertical="center" wrapText="1"/>
    </xf>
    <xf numFmtId="0" fontId="8" fillId="2" borderId="13" xfId="0" applyFont="1" applyFill="1" applyBorder="1" applyAlignment="1">
      <alignment vertical="center" wrapText="1"/>
    </xf>
    <xf numFmtId="9" fontId="5" fillId="2" borderId="4" xfId="4" applyNumberFormat="1" applyFont="1" applyFill="1" applyBorder="1" applyAlignment="1">
      <alignment vertical="center" wrapText="1"/>
    </xf>
    <xf numFmtId="0" fontId="5" fillId="4" borderId="4" xfId="0" applyFont="1" applyFill="1" applyBorder="1" applyAlignment="1">
      <alignment vertical="center" wrapText="1"/>
    </xf>
    <xf numFmtId="0" fontId="2" fillId="2" borderId="14" xfId="0" applyFont="1" applyFill="1" applyBorder="1" applyAlignment="1">
      <alignment vertical="center" wrapText="1"/>
    </xf>
    <xf numFmtId="9" fontId="2" fillId="4" borderId="4" xfId="0" applyNumberFormat="1" applyFont="1" applyFill="1" applyBorder="1" applyAlignment="1">
      <alignment vertical="center" wrapText="1"/>
    </xf>
    <xf numFmtId="0" fontId="8" fillId="2" borderId="4" xfId="4" applyFont="1" applyFill="1" applyBorder="1" applyAlignment="1">
      <alignment vertical="center" wrapText="1"/>
    </xf>
    <xf numFmtId="0" fontId="2" fillId="4" borderId="4" xfId="0" applyFont="1" applyFill="1" applyBorder="1" applyAlignment="1"/>
    <xf numFmtId="0" fontId="5" fillId="8" borderId="4" xfId="0" applyFont="1" applyFill="1" applyBorder="1" applyAlignment="1">
      <alignment vertical="center" wrapText="1"/>
    </xf>
    <xf numFmtId="170" fontId="5" fillId="8" borderId="4" xfId="3" applyNumberFormat="1" applyFont="1" applyFill="1" applyBorder="1" applyAlignment="1">
      <alignment vertical="center" wrapText="1"/>
    </xf>
    <xf numFmtId="0" fontId="5" fillId="10" borderId="18" xfId="0" applyFont="1" applyFill="1" applyBorder="1" applyAlignment="1">
      <alignment vertical="center" wrapText="1"/>
    </xf>
    <xf numFmtId="0" fontId="5" fillId="2" borderId="4" xfId="0" applyFont="1" applyFill="1" applyBorder="1" applyAlignment="1">
      <alignment vertical="center" wrapText="1"/>
    </xf>
    <xf numFmtId="0" fontId="2" fillId="8" borderId="4" xfId="0" applyFont="1" applyFill="1" applyBorder="1" applyAlignment="1">
      <alignment vertical="center" wrapText="1"/>
    </xf>
    <xf numFmtId="0" fontId="2" fillId="2" borderId="4" xfId="0" applyFont="1" applyFill="1" applyBorder="1" applyAlignment="1">
      <alignment vertical="center" wrapText="1"/>
    </xf>
    <xf numFmtId="0" fontId="2" fillId="8" borderId="4" xfId="0" applyFont="1" applyFill="1" applyBorder="1" applyAlignment="1">
      <alignment wrapText="1"/>
    </xf>
    <xf numFmtId="0" fontId="5" fillId="9" borderId="4" xfId="0" applyFont="1" applyFill="1" applyBorder="1" applyAlignment="1">
      <alignment vertical="center" wrapText="1"/>
    </xf>
    <xf numFmtId="0" fontId="2" fillId="8" borderId="0" xfId="0" applyFont="1" applyFill="1" applyBorder="1" applyAlignment="1"/>
    <xf numFmtId="0" fontId="2" fillId="2" borderId="0" xfId="0" applyFont="1" applyFill="1" applyAlignment="1"/>
    <xf numFmtId="0" fontId="2" fillId="8" borderId="4" xfId="0" applyFont="1" applyFill="1" applyBorder="1" applyAlignment="1">
      <alignment horizontal="left" vertical="top" wrapText="1"/>
    </xf>
    <xf numFmtId="0" fontId="3" fillId="2" borderId="0" xfId="0" applyFont="1" applyFill="1" applyBorder="1" applyAlignment="1">
      <alignment vertical="center" wrapText="1"/>
    </xf>
    <xf numFmtId="10" fontId="2" fillId="4" borderId="4" xfId="0" applyNumberFormat="1" applyFont="1" applyFill="1" applyBorder="1" applyAlignment="1">
      <alignment vertical="center" wrapText="1"/>
    </xf>
    <xf numFmtId="9" fontId="2" fillId="7" borderId="4" xfId="0" applyNumberFormat="1" applyFont="1" applyFill="1" applyBorder="1" applyAlignment="1">
      <alignment vertical="center"/>
    </xf>
    <xf numFmtId="0" fontId="5" fillId="8" borderId="13" xfId="0" applyFont="1" applyFill="1" applyBorder="1" applyAlignment="1">
      <alignment vertical="center" wrapText="1"/>
    </xf>
    <xf numFmtId="166" fontId="5" fillId="2" borderId="4" xfId="1" applyFont="1" applyFill="1" applyBorder="1" applyAlignment="1">
      <alignment vertical="center" wrapText="1"/>
    </xf>
    <xf numFmtId="0" fontId="5" fillId="2" borderId="4" xfId="0" applyFont="1" applyFill="1" applyBorder="1" applyAlignment="1">
      <alignment horizontal="left" vertical="center"/>
    </xf>
    <xf numFmtId="9" fontId="2" fillId="7" borderId="4" xfId="0" applyNumberFormat="1" applyFont="1" applyFill="1" applyBorder="1" applyAlignment="1">
      <alignment horizontal="left" vertical="center"/>
    </xf>
    <xf numFmtId="0" fontId="8" fillId="2" borderId="14"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2" fillId="2" borderId="0" xfId="0" applyFont="1" applyFill="1" applyBorder="1" applyAlignment="1">
      <alignment horizontal="left"/>
    </xf>
    <xf numFmtId="0" fontId="2" fillId="2" borderId="0" xfId="0" applyFont="1" applyFill="1" applyAlignment="1">
      <alignment vertical="center"/>
    </xf>
    <xf numFmtId="0" fontId="8" fillId="2" borderId="15" xfId="0" applyFont="1" applyFill="1" applyBorder="1" applyAlignment="1">
      <alignment horizontal="left" vertical="center"/>
    </xf>
    <xf numFmtId="0" fontId="2" fillId="8" borderId="4" xfId="0" applyFont="1" applyFill="1" applyBorder="1" applyAlignment="1">
      <alignment horizontal="left" vertical="center"/>
    </xf>
    <xf numFmtId="0" fontId="5" fillId="11" borderId="4" xfId="0" applyFont="1" applyFill="1" applyBorder="1" applyAlignment="1">
      <alignment horizontal="left" vertical="center"/>
    </xf>
    <xf numFmtId="0" fontId="7" fillId="6" borderId="4"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8" borderId="4" xfId="0" applyFont="1" applyFill="1" applyBorder="1" applyAlignment="1">
      <alignment horizontal="left" vertical="center" wrapText="1"/>
    </xf>
    <xf numFmtId="0" fontId="7" fillId="6" borderId="4" xfId="0" applyFont="1" applyFill="1" applyBorder="1" applyAlignment="1">
      <alignment vertical="center" wrapText="1"/>
    </xf>
    <xf numFmtId="0" fontId="7" fillId="6" borderId="0" xfId="0" applyFont="1" applyFill="1" applyBorder="1" applyAlignment="1">
      <alignment horizontal="center" vertical="center" wrapText="1"/>
    </xf>
    <xf numFmtId="0" fontId="0" fillId="2" borderId="0" xfId="0" applyFill="1"/>
    <xf numFmtId="9" fontId="5" fillId="2" borderId="4" xfId="4" applyNumberFormat="1" applyFont="1" applyFill="1" applyBorder="1" applyAlignment="1">
      <alignment horizontal="justify" vertical="center" wrapText="1"/>
    </xf>
    <xf numFmtId="167" fontId="8" fillId="2" borderId="4" xfId="0" applyNumberFormat="1" applyFont="1" applyFill="1" applyBorder="1" applyAlignment="1">
      <alignment horizontal="center" vertical="center"/>
    </xf>
    <xf numFmtId="10" fontId="8" fillId="2" borderId="15" xfId="3"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7" fontId="5" fillId="2" borderId="4" xfId="3" applyNumberFormat="1" applyFont="1" applyFill="1" applyBorder="1" applyAlignment="1">
      <alignment vertical="center"/>
    </xf>
    <xf numFmtId="10" fontId="5" fillId="2" borderId="4" xfId="3" applyNumberFormat="1" applyFont="1" applyFill="1" applyBorder="1" applyAlignment="1">
      <alignment vertical="center"/>
    </xf>
    <xf numFmtId="0" fontId="8" fillId="2" borderId="4" xfId="0" applyFont="1" applyFill="1" applyBorder="1" applyAlignment="1">
      <alignment horizontal="left"/>
    </xf>
    <xf numFmtId="168" fontId="8" fillId="2" borderId="4" xfId="8" applyNumberFormat="1" applyFont="1" applyFill="1" applyBorder="1" applyAlignment="1">
      <alignment horizontal="center" vertical="center"/>
    </xf>
    <xf numFmtId="0" fontId="5" fillId="2" borderId="4" xfId="7" applyFont="1" applyFill="1" applyBorder="1" applyAlignment="1">
      <alignment horizontal="left" vertical="center" wrapText="1"/>
    </xf>
    <xf numFmtId="2" fontId="8" fillId="2" borderId="4" xfId="8" applyNumberFormat="1" applyFont="1" applyFill="1" applyBorder="1" applyAlignment="1">
      <alignment horizontal="right" vertical="center"/>
    </xf>
    <xf numFmtId="10" fontId="8" fillId="2" borderId="4" xfId="9" applyNumberFormat="1" applyFont="1" applyFill="1" applyBorder="1" applyAlignment="1">
      <alignment horizontal="right" vertical="center" wrapText="1"/>
    </xf>
    <xf numFmtId="0" fontId="8" fillId="2" borderId="4" xfId="7" applyFont="1" applyFill="1" applyBorder="1" applyAlignment="1">
      <alignment horizontal="left" wrapText="1"/>
    </xf>
    <xf numFmtId="0" fontId="8" fillId="2" borderId="4" xfId="7" applyFont="1" applyFill="1" applyBorder="1" applyAlignment="1">
      <alignment wrapText="1"/>
    </xf>
    <xf numFmtId="0" fontId="2" fillId="2" borderId="4" xfId="7" applyFont="1" applyFill="1" applyBorder="1" applyAlignment="1">
      <alignment horizontal="left" vertical="center" wrapText="1"/>
    </xf>
    <xf numFmtId="10" fontId="2" fillId="2" borderId="4" xfId="3" applyNumberFormat="1" applyFont="1" applyFill="1" applyBorder="1" applyAlignment="1">
      <alignment horizontal="center" vertical="center"/>
    </xf>
    <xf numFmtId="9" fontId="2" fillId="2" borderId="4" xfId="3"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6" fillId="12" borderId="48" xfId="0" applyFont="1" applyFill="1" applyBorder="1" applyAlignment="1">
      <alignment horizontal="center" vertical="center"/>
    </xf>
    <xf numFmtId="0" fontId="3" fillId="12" borderId="49" xfId="0" applyFont="1" applyFill="1" applyBorder="1" applyAlignment="1">
      <alignment horizontal="center" vertical="center"/>
    </xf>
    <xf numFmtId="0" fontId="3" fillId="12" borderId="49"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8" fillId="0" borderId="0" xfId="0" applyFont="1"/>
    <xf numFmtId="0" fontId="2" fillId="2" borderId="51" xfId="0" applyFont="1" applyFill="1" applyBorder="1" applyAlignment="1">
      <alignment horizontal="center" vertical="center"/>
    </xf>
    <xf numFmtId="165" fontId="2" fillId="2" borderId="52" xfId="2" applyNumberFormat="1" applyFont="1" applyFill="1" applyBorder="1" applyAlignment="1">
      <alignment horizontal="right" vertical="center"/>
    </xf>
    <xf numFmtId="165" fontId="2" fillId="2" borderId="52" xfId="2" applyNumberFormat="1" applyFont="1" applyFill="1" applyBorder="1" applyAlignment="1">
      <alignment horizontal="center" vertical="center"/>
    </xf>
    <xf numFmtId="0" fontId="8" fillId="0" borderId="53" xfId="0" applyFont="1" applyBorder="1"/>
    <xf numFmtId="10" fontId="8" fillId="0" borderId="53" xfId="3" applyNumberFormat="1" applyFont="1" applyBorder="1"/>
    <xf numFmtId="165" fontId="0" fillId="0" borderId="0" xfId="0" applyNumberFormat="1"/>
    <xf numFmtId="0" fontId="2" fillId="2" borderId="54" xfId="0" applyFont="1" applyFill="1" applyBorder="1" applyAlignment="1">
      <alignment horizontal="center" vertical="center"/>
    </xf>
    <xf numFmtId="165" fontId="2" fillId="2" borderId="55" xfId="2" applyNumberFormat="1" applyFont="1" applyFill="1" applyBorder="1" applyAlignment="1">
      <alignment horizontal="right" vertical="center"/>
    </xf>
    <xf numFmtId="165" fontId="2" fillId="2" borderId="55" xfId="2" applyNumberFormat="1" applyFont="1" applyFill="1" applyBorder="1" applyAlignment="1">
      <alignment horizontal="center" vertical="center"/>
    </xf>
    <xf numFmtId="10" fontId="8" fillId="0" borderId="56" xfId="3" applyNumberFormat="1" applyFont="1" applyBorder="1"/>
    <xf numFmtId="0" fontId="8" fillId="2" borderId="0" xfId="0" applyFont="1" applyFill="1"/>
    <xf numFmtId="0" fontId="3" fillId="2" borderId="51" xfId="0" applyFont="1" applyFill="1" applyBorder="1" applyAlignment="1">
      <alignment horizontal="left" vertical="center" wrapText="1"/>
    </xf>
    <xf numFmtId="1" fontId="3" fillId="2" borderId="52" xfId="0" applyNumberFormat="1" applyFont="1" applyFill="1" applyBorder="1" applyAlignment="1">
      <alignment horizontal="left" vertical="center" wrapText="1"/>
    </xf>
    <xf numFmtId="0" fontId="8" fillId="2" borderId="54" xfId="0" applyFont="1" applyFill="1" applyBorder="1" applyAlignment="1">
      <alignment horizontal="center"/>
    </xf>
    <xf numFmtId="1" fontId="8" fillId="2" borderId="55" xfId="3" applyNumberFormat="1" applyFont="1" applyFill="1" applyBorder="1" applyAlignment="1">
      <alignment horizontal="center"/>
    </xf>
    <xf numFmtId="1" fontId="0" fillId="2" borderId="0" xfId="0" applyNumberFormat="1" applyFill="1"/>
    <xf numFmtId="9" fontId="8" fillId="2" borderId="18"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8" xfId="0" applyFont="1" applyFill="1" applyBorder="1" applyAlignment="1">
      <alignment horizontal="center" vertical="center" wrapText="1"/>
    </xf>
    <xf numFmtId="2" fontId="8" fillId="2" borderId="18" xfId="0" applyNumberFormat="1" applyFont="1" applyFill="1" applyBorder="1" applyAlignment="1">
      <alignment horizontal="center" vertical="center" wrapText="1"/>
    </xf>
    <xf numFmtId="0" fontId="2" fillId="2" borderId="18" xfId="0" applyFont="1" applyFill="1" applyBorder="1" applyAlignment="1">
      <alignment horizontal="center" vertical="center"/>
    </xf>
    <xf numFmtId="0" fontId="8" fillId="2" borderId="18" xfId="0" applyFont="1" applyFill="1" applyBorder="1" applyAlignment="1">
      <alignment horizontal="left"/>
    </xf>
    <xf numFmtId="2" fontId="2" fillId="2" borderId="18" xfId="0" applyNumberFormat="1" applyFont="1" applyFill="1" applyBorder="1" applyAlignment="1">
      <alignment horizontal="center" vertical="center"/>
    </xf>
    <xf numFmtId="10" fontId="8" fillId="2" borderId="18" xfId="0" applyNumberFormat="1"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8" xfId="0" applyFont="1" applyFill="1" applyBorder="1" applyAlignment="1">
      <alignment horizontal="center" wrapText="1"/>
    </xf>
    <xf numFmtId="0" fontId="8" fillId="2" borderId="18" xfId="0" applyFont="1" applyFill="1" applyBorder="1" applyAlignment="1">
      <alignment horizontal="left" wrapText="1"/>
    </xf>
    <xf numFmtId="10" fontId="8" fillId="2" borderId="47" xfId="0" applyNumberFormat="1" applyFont="1" applyFill="1" applyBorder="1" applyAlignment="1">
      <alignment horizontal="center" vertical="center"/>
    </xf>
    <xf numFmtId="4" fontId="8" fillId="2" borderId="18"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xf>
    <xf numFmtId="0" fontId="24" fillId="4" borderId="4" xfId="0" applyFont="1" applyFill="1" applyBorder="1" applyAlignment="1">
      <alignment horizontal="center" vertical="center"/>
    </xf>
    <xf numFmtId="0" fontId="7" fillId="6" borderId="15"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5" fillId="2" borderId="15" xfId="4" applyFont="1" applyFill="1" applyBorder="1" applyAlignment="1">
      <alignment horizontal="center" vertical="center" wrapText="1"/>
    </xf>
    <xf numFmtId="0" fontId="5" fillId="2" borderId="13" xfId="4" applyFont="1" applyFill="1" applyBorder="1" applyAlignment="1">
      <alignment horizontal="center" vertical="center" wrapText="1"/>
    </xf>
    <xf numFmtId="0" fontId="5" fillId="2" borderId="14" xfId="4" applyFont="1" applyFill="1" applyBorder="1" applyAlignment="1">
      <alignment horizontal="center" vertical="center" wrapText="1"/>
    </xf>
    <xf numFmtId="0" fontId="5" fillId="2" borderId="15" xfId="4" applyFont="1" applyFill="1" applyBorder="1" applyAlignment="1">
      <alignment horizontal="left" vertical="center" wrapText="1"/>
    </xf>
    <xf numFmtId="0" fontId="5" fillId="2" borderId="13" xfId="4" applyFont="1" applyFill="1" applyBorder="1" applyAlignment="1">
      <alignment horizontal="left" vertical="center" wrapText="1"/>
    </xf>
    <xf numFmtId="0" fontId="7" fillId="6" borderId="4" xfId="0" applyFont="1" applyFill="1" applyBorder="1" applyAlignment="1">
      <alignment horizontal="center" vertical="center" wrapText="1"/>
    </xf>
    <xf numFmtId="0" fontId="8" fillId="2" borderId="15" xfId="0" applyFont="1" applyFill="1" applyBorder="1" applyAlignment="1">
      <alignment horizontal="center" vertical="center"/>
    </xf>
    <xf numFmtId="0" fontId="2" fillId="4" borderId="15" xfId="0" applyFont="1" applyFill="1" applyBorder="1" applyAlignment="1">
      <alignment horizontal="left" vertical="center"/>
    </xf>
    <xf numFmtId="0" fontId="2" fillId="4" borderId="13"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13" xfId="0" applyFont="1" applyFill="1" applyBorder="1" applyAlignment="1">
      <alignment horizontal="left" vertical="center" wrapText="1"/>
    </xf>
    <xf numFmtId="10" fontId="8" fillId="2" borderId="15"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4" borderId="13" xfId="0" applyFont="1" applyFill="1" applyBorder="1" applyAlignment="1">
      <alignment horizontal="left" vertical="center" wrapText="1"/>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14" xfId="4"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14" xfId="4"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2" borderId="5" xfId="5" applyFont="1" applyFill="1" applyBorder="1" applyAlignment="1">
      <alignment horizontal="center" vertical="center" wrapText="1"/>
    </xf>
    <xf numFmtId="0" fontId="5" fillId="2" borderId="14" xfId="5" applyFont="1" applyFill="1" applyBorder="1" applyAlignment="1">
      <alignment horizontal="center" vertical="center"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6"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8" fillId="2" borderId="16" xfId="0" applyFont="1" applyFill="1" applyBorder="1" applyAlignment="1">
      <alignment horizontal="left" vertical="center"/>
    </xf>
    <xf numFmtId="0" fontId="8" fillId="2" borderId="13" xfId="0" applyFont="1" applyFill="1" applyBorder="1" applyAlignment="1">
      <alignment horizontal="left" vertical="center"/>
    </xf>
    <xf numFmtId="0" fontId="5" fillId="2" borderId="4" xfId="4" applyFont="1" applyFill="1" applyBorder="1" applyAlignment="1">
      <alignment horizontal="center" vertical="center" wrapText="1"/>
    </xf>
    <xf numFmtId="10" fontId="8" fillId="2" borderId="15" xfId="0" applyNumberFormat="1" applyFont="1" applyFill="1" applyBorder="1" applyAlignment="1">
      <alignment horizontal="center" vertical="center" wrapText="1"/>
    </xf>
    <xf numFmtId="10" fontId="8" fillId="2" borderId="16" xfId="0" applyNumberFormat="1" applyFont="1" applyFill="1" applyBorder="1" applyAlignment="1">
      <alignment horizontal="center" vertical="center" wrapText="1"/>
    </xf>
    <xf numFmtId="10" fontId="8" fillId="2" borderId="13" xfId="0" applyNumberFormat="1"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8" fillId="2" borderId="15" xfId="0" applyNumberFormat="1" applyFont="1" applyFill="1" applyBorder="1" applyAlignment="1">
      <alignment horizontal="center" vertical="center" wrapText="1"/>
    </xf>
    <xf numFmtId="9" fontId="8" fillId="2" borderId="16" xfId="0" applyNumberFormat="1"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5" fillId="7" borderId="1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2" fillId="4" borderId="15" xfId="0" applyFont="1" applyFill="1" applyBorder="1" applyAlignment="1">
      <alignment horizontal="left" vertical="center"/>
    </xf>
    <xf numFmtId="0" fontId="2" fillId="4" borderId="13"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 fillId="2" borderId="13" xfId="4"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6" fillId="8" borderId="15"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4" borderId="15"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6" xfId="0" applyFont="1" applyFill="1" applyBorder="1" applyAlignment="1">
      <alignment horizontal="left" vertical="center"/>
    </xf>
    <xf numFmtId="0" fontId="6" fillId="6" borderId="13" xfId="0" applyFont="1" applyFill="1" applyBorder="1" applyAlignment="1">
      <alignment horizontal="left" vertical="center"/>
    </xf>
    <xf numFmtId="0" fontId="2" fillId="2" borderId="1" xfId="0" applyFont="1" applyFill="1" applyBorder="1" applyAlignment="1">
      <alignment horizontal="center" vertical="center"/>
    </xf>
    <xf numFmtId="0" fontId="5" fillId="2" borderId="7"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1" xfId="4" applyFont="1" applyFill="1" applyBorder="1" applyAlignment="1">
      <alignment horizontal="center" vertical="center" wrapText="1"/>
    </xf>
    <xf numFmtId="0" fontId="5" fillId="2" borderId="42" xfId="4" applyFont="1" applyFill="1" applyBorder="1" applyAlignment="1">
      <alignment horizontal="center"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13" xfId="4" applyFont="1" applyFill="1" applyBorder="1" applyAlignment="1">
      <alignment horizontal="left" vertical="center" wrapText="1"/>
    </xf>
    <xf numFmtId="0" fontId="5" fillId="2" borderId="43" xfId="4" applyFont="1" applyFill="1" applyBorder="1" applyAlignment="1">
      <alignment horizontal="center" vertic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left"/>
    </xf>
    <xf numFmtId="0" fontId="0" fillId="0" borderId="4"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6" fillId="12" borderId="48" xfId="0" applyFont="1" applyFill="1" applyBorder="1" applyAlignment="1">
      <alignment horizontal="center" wrapText="1"/>
    </xf>
    <xf numFmtId="0" fontId="6" fillId="12" borderId="49" xfId="0" applyFont="1" applyFill="1" applyBorder="1" applyAlignment="1">
      <alignment horizontal="center" wrapText="1"/>
    </xf>
    <xf numFmtId="0" fontId="6" fillId="12" borderId="51" xfId="0" applyFont="1" applyFill="1" applyBorder="1" applyAlignment="1">
      <alignment horizontal="center" wrapText="1"/>
    </xf>
    <xf numFmtId="0" fontId="6" fillId="12" borderId="52" xfId="0" applyFont="1" applyFill="1" applyBorder="1" applyAlignment="1">
      <alignment horizontal="center" wrapText="1"/>
    </xf>
    <xf numFmtId="9" fontId="6" fillId="12" borderId="50" xfId="3" applyFont="1" applyFill="1" applyBorder="1" applyAlignment="1">
      <alignment horizontal="center" vertical="center" wrapText="1"/>
    </xf>
    <xf numFmtId="9" fontId="6" fillId="12" borderId="53" xfId="3" applyFont="1" applyFill="1" applyBorder="1" applyAlignment="1">
      <alignment horizontal="center" vertical="center" wrapText="1"/>
    </xf>
    <xf numFmtId="9" fontId="8" fillId="2" borderId="53" xfId="3" applyFont="1" applyFill="1" applyBorder="1" applyAlignment="1">
      <alignment horizontal="center" vertical="center"/>
    </xf>
    <xf numFmtId="9" fontId="8" fillId="2" borderId="56" xfId="3" applyFont="1" applyFill="1" applyBorder="1" applyAlignment="1">
      <alignment horizontal="center" vertical="center"/>
    </xf>
    <xf numFmtId="0" fontId="3" fillId="13" borderId="8" xfId="0" applyFont="1" applyFill="1" applyBorder="1" applyAlignment="1">
      <alignment horizontal="center" vertical="center" wrapText="1"/>
    </xf>
    <xf numFmtId="0" fontId="3" fillId="13" borderId="2"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9"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3" borderId="12" xfId="0" applyFont="1" applyFill="1" applyBorder="1" applyAlignment="1">
      <alignment horizontal="center" vertical="center"/>
    </xf>
    <xf numFmtId="0" fontId="3" fillId="14" borderId="1" xfId="0" applyFont="1" applyFill="1" applyBorder="1" applyAlignment="1">
      <alignment horizontal="center" vertical="center"/>
    </xf>
    <xf numFmtId="0" fontId="3" fillId="7" borderId="0" xfId="0" applyFont="1" applyFill="1" applyBorder="1" applyAlignment="1">
      <alignment horizontal="center" vertical="center"/>
    </xf>
    <xf numFmtId="0" fontId="3" fillId="15"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2" borderId="29" xfId="0" applyFont="1" applyFill="1" applyBorder="1" applyAlignment="1">
      <alignment horizontal="center" vertical="center"/>
    </xf>
    <xf numFmtId="9" fontId="5" fillId="2" borderId="4" xfId="3" applyFont="1" applyFill="1" applyBorder="1" applyAlignment="1">
      <alignment horizontal="center" vertical="center"/>
    </xf>
    <xf numFmtId="10" fontId="8" fillId="2" borderId="4" xfId="3" applyNumberFormat="1" applyFont="1" applyFill="1" applyBorder="1" applyAlignment="1">
      <alignment horizontal="center" vertical="center" wrapText="1"/>
    </xf>
    <xf numFmtId="9" fontId="8" fillId="2" borderId="4" xfId="3" applyNumberFormat="1" applyFont="1" applyFill="1" applyBorder="1" applyAlignment="1">
      <alignment horizontal="center" vertical="center" wrapText="1"/>
    </xf>
    <xf numFmtId="10" fontId="8" fillId="2" borderId="4" xfId="3" applyNumberFormat="1" applyFont="1" applyFill="1" applyBorder="1" applyAlignment="1">
      <alignment horizontal="left" vertical="center" wrapText="1"/>
    </xf>
    <xf numFmtId="10" fontId="8" fillId="2" borderId="4" xfId="3" applyNumberFormat="1" applyFont="1" applyFill="1" applyBorder="1" applyAlignment="1">
      <alignment vertical="center" wrapText="1"/>
    </xf>
    <xf numFmtId="9" fontId="5" fillId="2" borderId="4" xfId="3" applyFont="1" applyFill="1" applyBorder="1" applyAlignment="1">
      <alignment vertical="center" wrapText="1"/>
    </xf>
    <xf numFmtId="166" fontId="5" fillId="2" borderId="4" xfId="3" applyNumberFormat="1" applyFont="1" applyFill="1" applyBorder="1" applyAlignment="1">
      <alignment horizontal="left" vertical="center" wrapText="1"/>
    </xf>
    <xf numFmtId="166" fontId="5" fillId="2" borderId="4" xfId="1" applyFont="1" applyFill="1" applyBorder="1" applyAlignment="1">
      <alignment horizontal="left" vertical="center" wrapText="1"/>
    </xf>
    <xf numFmtId="3"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vertical="center"/>
    </xf>
    <xf numFmtId="0" fontId="8" fillId="2" borderId="4" xfId="0" applyFont="1" applyFill="1" applyBorder="1" applyAlignment="1"/>
    <xf numFmtId="0" fontId="8" fillId="2" borderId="4" xfId="0" applyFont="1" applyFill="1" applyBorder="1" applyAlignment="1">
      <alignment horizontal="left" vertical="top" wrapText="1"/>
    </xf>
    <xf numFmtId="0" fontId="5" fillId="2" borderId="4" xfId="0" applyFont="1" applyFill="1" applyBorder="1" applyAlignment="1">
      <alignment horizontal="left"/>
    </xf>
    <xf numFmtId="10" fontId="5" fillId="2" borderId="16" xfId="3" applyNumberFormat="1" applyFont="1" applyFill="1" applyBorder="1" applyAlignment="1">
      <alignment vertical="center"/>
    </xf>
    <xf numFmtId="169" fontId="5" fillId="2" borderId="4" xfId="6" applyNumberFormat="1" applyFont="1" applyFill="1" applyBorder="1" applyAlignment="1">
      <alignment horizontal="left" vertical="center"/>
    </xf>
    <xf numFmtId="2" fontId="8" fillId="2" borderId="4" xfId="2" applyNumberFormat="1" applyFont="1" applyFill="1" applyBorder="1" applyAlignment="1">
      <alignment horizontal="right" vertical="center"/>
    </xf>
    <xf numFmtId="2" fontId="2" fillId="2" borderId="4" xfId="0" applyNumberFormat="1" applyFont="1" applyFill="1" applyBorder="1" applyAlignment="1">
      <alignment vertical="center"/>
    </xf>
    <xf numFmtId="2" fontId="2" fillId="2" borderId="4" xfId="0" applyNumberFormat="1" applyFont="1" applyFill="1" applyBorder="1" applyAlignment="1">
      <alignment horizontal="center" vertical="center"/>
    </xf>
    <xf numFmtId="4" fontId="5" fillId="2" borderId="4" xfId="2" applyNumberFormat="1" applyFont="1" applyFill="1" applyBorder="1" applyAlignment="1">
      <alignment horizontal="center" vertical="center"/>
    </xf>
    <xf numFmtId="169" fontId="5" fillId="2" borderId="4" xfId="6" applyNumberFormat="1" applyFont="1" applyFill="1" applyBorder="1" applyAlignment="1">
      <alignment horizontal="left"/>
    </xf>
    <xf numFmtId="9" fontId="5" fillId="2" borderId="4" xfId="6" applyNumberFormat="1" applyFont="1" applyFill="1" applyBorder="1" applyAlignment="1">
      <alignment horizontal="right" vertical="center" wrapText="1"/>
    </xf>
    <xf numFmtId="9" fontId="8" fillId="2" borderId="4" xfId="3" applyNumberFormat="1" applyFont="1" applyFill="1" applyBorder="1" applyAlignment="1">
      <alignment horizontal="right" vertical="center" wrapText="1"/>
    </xf>
    <xf numFmtId="9" fontId="8" fillId="2" borderId="4" xfId="3" applyNumberFormat="1" applyFont="1" applyFill="1" applyBorder="1" applyAlignment="1">
      <alignment horizontal="right" vertical="center"/>
    </xf>
    <xf numFmtId="9" fontId="8" fillId="2" borderId="4" xfId="3" applyFont="1" applyFill="1" applyBorder="1" applyAlignment="1">
      <alignment horizontal="right" vertical="center"/>
    </xf>
    <xf numFmtId="0" fontId="12" fillId="2" borderId="1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3" xfId="0" applyFont="1" applyFill="1" applyBorder="1" applyAlignment="1">
      <alignment horizontal="left" vertical="center" wrapText="1"/>
    </xf>
    <xf numFmtId="9" fontId="8" fillId="2" borderId="0" xfId="0" applyNumberFormat="1" applyFont="1" applyFill="1"/>
    <xf numFmtId="170" fontId="2" fillId="2" borderId="4" xfId="0" applyNumberFormat="1" applyFont="1" applyFill="1" applyBorder="1" applyAlignment="1">
      <alignment horizontal="center" vertical="center"/>
    </xf>
    <xf numFmtId="9" fontId="2" fillId="2" borderId="4"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4" xfId="0" applyFont="1" applyFill="1" applyBorder="1" applyAlignment="1">
      <alignment wrapText="1"/>
    </xf>
    <xf numFmtId="0" fontId="8" fillId="2" borderId="5" xfId="0" applyFont="1" applyFill="1" applyBorder="1" applyAlignment="1">
      <alignment horizontal="left" vertical="center" wrapText="1"/>
    </xf>
    <xf numFmtId="0" fontId="8"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xf>
    <xf numFmtId="0" fontId="8" fillId="2" borderId="0" xfId="0" applyFont="1" applyFill="1" applyAlignment="1"/>
    <xf numFmtId="0" fontId="8" fillId="2" borderId="0" xfId="0" applyFont="1" applyFill="1" applyAlignment="1">
      <alignment horizontal="center" vertical="center"/>
    </xf>
    <xf numFmtId="2" fontId="5" fillId="2" borderId="4" xfId="3" applyNumberFormat="1" applyFont="1" applyFill="1" applyBorder="1" applyAlignment="1">
      <alignment horizontal="center" vertical="center"/>
    </xf>
    <xf numFmtId="0" fontId="5" fillId="2" borderId="4" xfId="4" applyFont="1" applyFill="1" applyBorder="1" applyAlignment="1">
      <alignment horizontal="justify" vertical="center" wrapText="1"/>
    </xf>
  </cellXfs>
  <cellStyles count="10">
    <cellStyle name="Hipervínculo" xfId="6" builtinId="8"/>
    <cellStyle name="Millares" xfId="1" builtinId="3"/>
    <cellStyle name="Millares [0]" xfId="2" builtinId="6"/>
    <cellStyle name="Millares [0] 2" xfId="8"/>
    <cellStyle name="Normal" xfId="0" builtinId="0"/>
    <cellStyle name="Normal 10" xfId="5"/>
    <cellStyle name="Normal 2" xfId="4"/>
    <cellStyle name="Normal 3" xfId="7"/>
    <cellStyle name="Porcentaje" xfId="3" builtinId="5"/>
    <cellStyle name="Porcentaje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418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480122</xdr:colOff>
      <xdr:row>0</xdr:row>
      <xdr:rowOff>14531</xdr:rowOff>
    </xdr:from>
    <xdr:to>
      <xdr:col>0</xdr:col>
      <xdr:colOff>923975</xdr:colOff>
      <xdr:row>2</xdr:row>
      <xdr:rowOff>109781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122" y="14531"/>
          <a:ext cx="443853" cy="51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PLANEACION\INDICADORES%20A&#209;O%20%202018%20X%20TRIMEST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Consumo%20de%20agu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ana.blanco.ELC\Desktop\OFICINA%20ASESORA%20DE%20PLANEACION%20Y%20SISTEMAS%20ELC\SGC\TRAZABILIDAD%20MATRIZ%20DE%20INDICADORES%20CONSOLIDADA\GESTI&#211;N%20AMBIENTAL\Datos%20generaci&#243;n%20de%20residuos%20peligros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
          <cell r="AS9" t="str">
            <v>RESULTADOS FAVORABLES</v>
          </cell>
        </row>
        <row r="10">
          <cell r="AS10" t="str">
            <v>OPORTUNIDAD DE MEJORA</v>
          </cell>
        </row>
        <row r="11">
          <cell r="AS11" t="str">
            <v>RESULTADOS FAVORABLES</v>
          </cell>
        </row>
        <row r="14">
          <cell r="AS14" t="str">
            <v>RESULTADOS FAVORABLES</v>
          </cell>
        </row>
        <row r="16">
          <cell r="AS16" t="str">
            <v>RESULTADOS FAVORABLES</v>
          </cell>
        </row>
        <row r="20">
          <cell r="AS20" t="str">
            <v>ACCIÓN CORRECTIVA</v>
          </cell>
        </row>
        <row r="21">
          <cell r="AS21" t="str">
            <v>RESULTADOS FAVORABLES</v>
          </cell>
        </row>
        <row r="22">
          <cell r="AS22" t="str">
            <v>ACCIÓN CORRECTIVA</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15">
          <cell r="F15">
            <v>511.274</v>
          </cell>
        </row>
        <row r="16">
          <cell r="F16">
            <v>-307.15100000000007</v>
          </cell>
        </row>
        <row r="17">
          <cell r="F17">
            <v>-263.02400000000011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ólidos contaminados"/>
      <sheetName val="Placas filtrantes"/>
      <sheetName val="Pintura"/>
      <sheetName val="Otros respel"/>
    </sheetNames>
    <sheetDataSet>
      <sheetData sheetId="0">
        <row r="49">
          <cell r="D49">
            <v>10</v>
          </cell>
        </row>
        <row r="56">
          <cell r="D56">
            <v>5.8999999999999995</v>
          </cell>
        </row>
        <row r="64">
          <cell r="D64">
            <v>6.5</v>
          </cell>
        </row>
        <row r="66">
          <cell r="D66">
            <v>14.85</v>
          </cell>
        </row>
        <row r="69">
          <cell r="D69">
            <v>12.450000000000001</v>
          </cell>
        </row>
        <row r="81">
          <cell r="D81">
            <v>43.95</v>
          </cell>
        </row>
      </sheetData>
      <sheetData sheetId="1">
        <row r="47">
          <cell r="D47">
            <v>116</v>
          </cell>
        </row>
        <row r="53">
          <cell r="D53">
            <v>17.8</v>
          </cell>
        </row>
        <row r="59">
          <cell r="D59">
            <v>34.799999999999997</v>
          </cell>
        </row>
        <row r="68">
          <cell r="D68">
            <v>199.7</v>
          </cell>
        </row>
        <row r="72">
          <cell r="D72">
            <v>52.8</v>
          </cell>
        </row>
        <row r="84">
          <cell r="D84">
            <v>172.54999999999998</v>
          </cell>
        </row>
      </sheetData>
      <sheetData sheetId="2"/>
      <sheetData sheetId="3">
        <row r="19">
          <cell r="C19">
            <v>1</v>
          </cell>
        </row>
        <row r="22">
          <cell r="C22">
            <v>1</v>
          </cell>
        </row>
        <row r="24">
          <cell r="C24">
            <v>0</v>
          </cell>
        </row>
        <row r="26">
          <cell r="C26">
            <v>3.2</v>
          </cell>
        </row>
        <row r="28">
          <cell r="C28">
            <v>5.25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9"/>
  <sheetViews>
    <sheetView tabSelected="1" zoomScale="71" zoomScaleNormal="71" workbookViewId="0">
      <selection sqref="A1:A3"/>
    </sheetView>
  </sheetViews>
  <sheetFormatPr baseColWidth="10" defaultRowHeight="15" x14ac:dyDescent="0.2"/>
  <cols>
    <col min="1" max="1" width="21.42578125" style="268" customWidth="1"/>
    <col min="2" max="2" width="11.42578125" style="488"/>
    <col min="3" max="3" width="38.85546875" style="268" customWidth="1"/>
    <col min="4" max="4" width="11.42578125" style="488" customWidth="1"/>
    <col min="5" max="5" width="26.5703125" style="268" bestFit="1" customWidth="1"/>
    <col min="6" max="6" width="11.42578125" style="489"/>
    <col min="7" max="7" width="63" style="268" bestFit="1" customWidth="1"/>
    <col min="8" max="8" width="31.7109375" style="268" customWidth="1"/>
    <col min="9" max="9" width="17" style="268" customWidth="1"/>
    <col min="10" max="11" width="53.42578125" style="268" customWidth="1"/>
    <col min="12" max="12" width="15.7109375" style="268" customWidth="1"/>
    <col min="13" max="13" width="18.85546875" style="268" customWidth="1"/>
    <col min="14" max="14" width="17.28515625" style="268" customWidth="1"/>
    <col min="15" max="15" width="20.5703125" style="268" customWidth="1"/>
    <col min="16" max="16" width="11.42578125" style="268"/>
    <col min="17" max="17" width="21.7109375" style="490" customWidth="1"/>
    <col min="18" max="18" width="16.42578125" style="268" customWidth="1"/>
    <col min="19" max="19" width="24.28515625" style="490" customWidth="1"/>
    <col min="20" max="20" width="11.7109375" style="268" bestFit="1" customWidth="1"/>
    <col min="21" max="21" width="73.28515625" style="490" bestFit="1" customWidth="1"/>
    <col min="22" max="22" width="11.42578125" style="268"/>
    <col min="23" max="23" width="39.5703125" style="490" bestFit="1" customWidth="1"/>
    <col min="24" max="24" width="11.42578125" style="268"/>
    <col min="25" max="25" width="25.85546875" style="490" customWidth="1"/>
    <col min="26" max="26" width="11.42578125" style="268"/>
    <col min="27" max="27" width="19.42578125" style="490" customWidth="1"/>
    <col min="28" max="28" width="11.42578125" style="268"/>
    <col min="29" max="29" width="20.7109375" style="490" customWidth="1"/>
    <col min="30" max="30" width="11.42578125" style="268"/>
    <col min="31" max="31" width="22.5703125" style="491" customWidth="1"/>
    <col min="32" max="32" width="18.42578125" style="268" customWidth="1"/>
    <col min="33" max="33" width="31.85546875" style="490" customWidth="1"/>
    <col min="34" max="34" width="16.5703125" style="268" customWidth="1"/>
    <col min="35" max="35" width="32.140625" style="491" customWidth="1"/>
    <col min="36" max="36" width="19.5703125" style="268" customWidth="1"/>
    <col min="37" max="37" width="29.140625" style="490" customWidth="1"/>
    <col min="38" max="38" width="20.5703125" style="268" customWidth="1"/>
    <col min="39" max="39" width="46.85546875" style="490" customWidth="1"/>
    <col min="40" max="40" width="16.42578125" style="492" customWidth="1"/>
    <col min="41" max="41" width="39.140625" style="492" bestFit="1" customWidth="1"/>
    <col min="42" max="42" width="0" style="268" hidden="1" customWidth="1"/>
    <col min="43" max="43" width="15" style="268" hidden="1" customWidth="1"/>
    <col min="44" max="44" width="0" style="268" hidden="1" customWidth="1"/>
    <col min="45" max="45" width="25" style="490" hidden="1" customWidth="1"/>
    <col min="46" max="46" width="42.7109375" style="268" hidden="1" customWidth="1"/>
    <col min="47" max="16384" width="11.42578125" style="268"/>
  </cols>
  <sheetData>
    <row r="1" spans="1:46" ht="15.75" customHeight="1" thickBot="1" x14ac:dyDescent="0.25">
      <c r="A1" s="397"/>
      <c r="B1" s="358" t="s">
        <v>0</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77" t="s">
        <v>1</v>
      </c>
      <c r="AK1" s="378"/>
      <c r="AL1" s="378"/>
      <c r="AM1" s="378"/>
      <c r="AN1" s="378"/>
      <c r="AO1" s="378"/>
      <c r="AP1" s="378"/>
      <c r="AQ1" s="378"/>
      <c r="AR1" s="378"/>
      <c r="AS1" s="378"/>
      <c r="AT1" s="379"/>
    </row>
    <row r="2" spans="1:46" ht="16.5" thickBot="1" x14ac:dyDescent="0.25">
      <c r="A2" s="397"/>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77" t="s">
        <v>2</v>
      </c>
      <c r="AK2" s="378"/>
      <c r="AL2" s="378"/>
      <c r="AM2" s="378"/>
      <c r="AN2" s="378"/>
      <c r="AO2" s="378"/>
      <c r="AP2" s="378"/>
      <c r="AQ2" s="378"/>
      <c r="AR2" s="378"/>
      <c r="AS2" s="378"/>
      <c r="AT2" s="379"/>
    </row>
    <row r="3" spans="1:46" ht="34.5" customHeight="1" thickBot="1" x14ac:dyDescent="0.3">
      <c r="A3" s="398"/>
      <c r="B3" s="399" t="s">
        <v>735</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215"/>
      <c r="AJ3" s="373" t="s">
        <v>3</v>
      </c>
      <c r="AK3" s="374"/>
      <c r="AL3" s="375"/>
      <c r="AM3" s="375"/>
      <c r="AN3" s="375"/>
      <c r="AO3" s="376"/>
      <c r="AP3" s="380" t="s">
        <v>4</v>
      </c>
      <c r="AQ3" s="380"/>
      <c r="AR3" s="380"/>
      <c r="AS3" s="380"/>
      <c r="AT3" s="381"/>
    </row>
    <row r="4" spans="1:46" ht="48" thickBot="1" x14ac:dyDescent="0.25">
      <c r="A4" s="429" t="s">
        <v>5</v>
      </c>
      <c r="B4" s="430" t="s">
        <v>6</v>
      </c>
      <c r="C4" s="429" t="s">
        <v>7</v>
      </c>
      <c r="D4" s="430" t="s">
        <v>6</v>
      </c>
      <c r="E4" s="431" t="s">
        <v>8</v>
      </c>
      <c r="F4" s="431" t="s">
        <v>6</v>
      </c>
      <c r="G4" s="429" t="s">
        <v>9</v>
      </c>
      <c r="H4" s="432" t="s">
        <v>10</v>
      </c>
      <c r="I4" s="432" t="s">
        <v>11</v>
      </c>
      <c r="J4" s="433" t="s">
        <v>12</v>
      </c>
      <c r="K4" s="434"/>
      <c r="L4" s="435" t="s">
        <v>13</v>
      </c>
      <c r="M4" s="429" t="s">
        <v>14</v>
      </c>
      <c r="N4" s="435" t="s">
        <v>15</v>
      </c>
      <c r="O4" s="436" t="s">
        <v>16</v>
      </c>
      <c r="P4" s="436" t="s">
        <v>17</v>
      </c>
      <c r="Q4" s="436" t="s">
        <v>18</v>
      </c>
      <c r="R4" s="436" t="s">
        <v>19</v>
      </c>
      <c r="S4" s="436" t="s">
        <v>18</v>
      </c>
      <c r="T4" s="436" t="s">
        <v>20</v>
      </c>
      <c r="U4" s="436" t="s">
        <v>18</v>
      </c>
      <c r="V4" s="436" t="s">
        <v>21</v>
      </c>
      <c r="W4" s="436" t="s">
        <v>18</v>
      </c>
      <c r="X4" s="436" t="s">
        <v>22</v>
      </c>
      <c r="Y4" s="436" t="s">
        <v>18</v>
      </c>
      <c r="Z4" s="436" t="s">
        <v>23</v>
      </c>
      <c r="AA4" s="436" t="s">
        <v>18</v>
      </c>
      <c r="AB4" s="436" t="s">
        <v>24</v>
      </c>
      <c r="AC4" s="436" t="s">
        <v>18</v>
      </c>
      <c r="AD4" s="436" t="s">
        <v>25</v>
      </c>
      <c r="AE4" s="436" t="s">
        <v>18</v>
      </c>
      <c r="AF4" s="436" t="s">
        <v>26</v>
      </c>
      <c r="AG4" s="436" t="s">
        <v>18</v>
      </c>
      <c r="AH4" s="436" t="s">
        <v>27</v>
      </c>
      <c r="AI4" s="436" t="s">
        <v>18</v>
      </c>
      <c r="AJ4" s="437" t="s">
        <v>28</v>
      </c>
      <c r="AK4" s="437" t="s">
        <v>18</v>
      </c>
      <c r="AL4" s="437" t="s">
        <v>29</v>
      </c>
      <c r="AM4" s="437" t="s">
        <v>18</v>
      </c>
      <c r="AN4" s="438" t="s">
        <v>30</v>
      </c>
      <c r="AO4" s="439" t="s">
        <v>31</v>
      </c>
      <c r="AP4" s="440" t="s">
        <v>32</v>
      </c>
      <c r="AQ4" s="441" t="s">
        <v>33</v>
      </c>
      <c r="AR4" s="442" t="s">
        <v>34</v>
      </c>
      <c r="AS4" s="443" t="s">
        <v>35</v>
      </c>
      <c r="AT4" s="443" t="s">
        <v>36</v>
      </c>
    </row>
    <row r="5" spans="1:46" ht="300" x14ac:dyDescent="0.2">
      <c r="A5" s="1" t="s">
        <v>37</v>
      </c>
      <c r="B5" s="2" t="s">
        <v>38</v>
      </c>
      <c r="C5" s="3" t="s">
        <v>39</v>
      </c>
      <c r="D5" s="4" t="s">
        <v>40</v>
      </c>
      <c r="E5" s="4" t="s">
        <v>41</v>
      </c>
      <c r="F5" s="184" t="s">
        <v>42</v>
      </c>
      <c r="G5" s="5" t="s">
        <v>513</v>
      </c>
      <c r="H5" s="5" t="s">
        <v>43</v>
      </c>
      <c r="I5" s="306" t="s">
        <v>44</v>
      </c>
      <c r="J5" s="307" t="s">
        <v>45</v>
      </c>
      <c r="K5" s="308"/>
      <c r="L5" s="306" t="s">
        <v>46</v>
      </c>
      <c r="M5" s="306" t="s">
        <v>47</v>
      </c>
      <c r="N5" s="6" t="s">
        <v>48</v>
      </c>
      <c r="O5" s="6" t="s">
        <v>48</v>
      </c>
      <c r="P5" s="36">
        <f>185620273/2378130388</f>
        <v>7.805302599749632E-2</v>
      </c>
      <c r="Q5" s="191" t="s">
        <v>747</v>
      </c>
      <c r="R5" s="8">
        <f>190804585/2057745412</f>
        <v>9.27250688483129E-2</v>
      </c>
      <c r="S5" s="24" t="s">
        <v>748</v>
      </c>
      <c r="T5" s="8">
        <f>418416344/4015067974</f>
        <v>0.10421152187447374</v>
      </c>
      <c r="U5" s="24" t="s">
        <v>749</v>
      </c>
      <c r="V5" s="9"/>
      <c r="W5" s="5"/>
      <c r="X5" s="8"/>
      <c r="Y5" s="302"/>
      <c r="Z5" s="8"/>
      <c r="AA5" s="302"/>
      <c r="AB5" s="8"/>
      <c r="AC5" s="302"/>
      <c r="AD5" s="8"/>
      <c r="AE5" s="197"/>
      <c r="AF5" s="8"/>
      <c r="AG5" s="302"/>
      <c r="AH5" s="7"/>
      <c r="AI5" s="41"/>
      <c r="AJ5" s="7"/>
      <c r="AK5" s="296"/>
      <c r="AL5" s="7"/>
      <c r="AM5" s="296"/>
      <c r="AN5" s="6" t="s">
        <v>673</v>
      </c>
      <c r="AO5" s="6" t="s">
        <v>730</v>
      </c>
      <c r="AP5" s="6"/>
      <c r="AQ5" s="10"/>
      <c r="AR5" s="10"/>
      <c r="AS5" s="50"/>
      <c r="AT5" s="444" t="str">
        <f>+[1]Hoja1!$AS$22</f>
        <v>ACCIÓN CORRECTIVA</v>
      </c>
    </row>
    <row r="6" spans="1:46" ht="240" x14ac:dyDescent="0.2">
      <c r="A6" s="1" t="s">
        <v>37</v>
      </c>
      <c r="B6" s="2"/>
      <c r="C6" s="3" t="s">
        <v>39</v>
      </c>
      <c r="D6" s="4"/>
      <c r="E6" s="4" t="s">
        <v>41</v>
      </c>
      <c r="F6" s="184" t="s">
        <v>49</v>
      </c>
      <c r="G6" s="12" t="s">
        <v>737</v>
      </c>
      <c r="H6" s="5" t="s">
        <v>50</v>
      </c>
      <c r="I6" s="13" t="s">
        <v>51</v>
      </c>
      <c r="J6" s="307" t="s">
        <v>52</v>
      </c>
      <c r="K6" s="308"/>
      <c r="L6" s="306" t="s">
        <v>46</v>
      </c>
      <c r="M6" s="306" t="s">
        <v>47</v>
      </c>
      <c r="N6" s="10" t="s">
        <v>736</v>
      </c>
      <c r="O6" s="10" t="s">
        <v>736</v>
      </c>
      <c r="P6" s="14">
        <f>1/1</f>
        <v>1</v>
      </c>
      <c r="Q6" s="16" t="s">
        <v>739</v>
      </c>
      <c r="R6" s="14">
        <f>2/2</f>
        <v>1</v>
      </c>
      <c r="S6" s="16" t="s">
        <v>740</v>
      </c>
      <c r="T6" s="15">
        <f>1/1</f>
        <v>1</v>
      </c>
      <c r="U6" s="16" t="s">
        <v>741</v>
      </c>
      <c r="V6" s="14"/>
      <c r="W6" s="16"/>
      <c r="X6" s="14"/>
      <c r="Y6" s="16"/>
      <c r="Z6" s="14"/>
      <c r="AA6" s="16"/>
      <c r="AB6" s="17"/>
      <c r="AC6" s="16"/>
      <c r="AD6" s="14"/>
      <c r="AE6" s="169"/>
      <c r="AF6" s="14"/>
      <c r="AG6" s="18"/>
      <c r="AH6" s="14"/>
      <c r="AI6" s="169"/>
      <c r="AJ6" s="14"/>
      <c r="AK6" s="18"/>
      <c r="AL6" s="14"/>
      <c r="AM6" s="18"/>
      <c r="AN6" s="6"/>
      <c r="AO6" s="19"/>
      <c r="AP6" s="6"/>
      <c r="AQ6" s="10"/>
      <c r="AR6" s="10"/>
      <c r="AS6" s="128"/>
      <c r="AT6" s="20" t="str">
        <f>IF($AL6&gt;=25%,"RESULTADOS FAVORABLES",IF($AL6&lt;12.5%,"ACCIÓN CORRECTIVA",IF($AL6&lt;24%,"OPORTUNIDAD DE MEJORA")))</f>
        <v>ACCIÓN CORRECTIVA</v>
      </c>
    </row>
    <row r="7" spans="1:46" ht="409.5" x14ac:dyDescent="0.2">
      <c r="A7" s="1" t="s">
        <v>37</v>
      </c>
      <c r="B7" s="2"/>
      <c r="C7" s="3" t="s">
        <v>39</v>
      </c>
      <c r="D7" s="4"/>
      <c r="E7" s="4" t="s">
        <v>41</v>
      </c>
      <c r="F7" s="184" t="s">
        <v>53</v>
      </c>
      <c r="G7" s="18" t="s">
        <v>54</v>
      </c>
      <c r="H7" s="5" t="s">
        <v>55</v>
      </c>
      <c r="I7" s="13" t="s">
        <v>51</v>
      </c>
      <c r="J7" s="307" t="s">
        <v>738</v>
      </c>
      <c r="K7" s="308"/>
      <c r="L7" s="306" t="s">
        <v>46</v>
      </c>
      <c r="M7" s="306" t="s">
        <v>47</v>
      </c>
      <c r="N7" s="6" t="s">
        <v>56</v>
      </c>
      <c r="O7" s="6" t="s">
        <v>56</v>
      </c>
      <c r="P7" s="19">
        <v>0.73170000000000002</v>
      </c>
      <c r="Q7" s="5" t="s">
        <v>742</v>
      </c>
      <c r="R7" s="19" t="s">
        <v>579</v>
      </c>
      <c r="S7" s="5" t="s">
        <v>743</v>
      </c>
      <c r="T7" s="15" t="s">
        <v>579</v>
      </c>
      <c r="U7" s="5" t="s">
        <v>744</v>
      </c>
      <c r="V7" s="21"/>
      <c r="W7" s="5"/>
      <c r="X7" s="23"/>
      <c r="Y7" s="18"/>
      <c r="Z7" s="23"/>
      <c r="AA7" s="18"/>
      <c r="AB7" s="19"/>
      <c r="AC7" s="5"/>
      <c r="AD7" s="306"/>
      <c r="AE7" s="169"/>
      <c r="AF7" s="24"/>
      <c r="AG7" s="18"/>
      <c r="AH7" s="61"/>
      <c r="AI7" s="169"/>
      <c r="AJ7" s="24"/>
      <c r="AK7" s="18"/>
      <c r="AL7" s="61"/>
      <c r="AM7" s="18"/>
      <c r="AN7" s="6"/>
      <c r="AO7" s="19"/>
      <c r="AP7" s="6"/>
      <c r="AQ7" s="10"/>
      <c r="AR7" s="10"/>
      <c r="AS7" s="222"/>
      <c r="AT7" s="26" t="str">
        <f>IF($AL7&gt;=100%,"RESULTADOS FAVORABLES",IF($AF7&lt;75%,"ACCIÓN CORRECTIVA",IF($AF7&lt;96%,"OPORTUNIDAD DE MEJORA")))</f>
        <v>ACCIÓN CORRECTIVA</v>
      </c>
    </row>
    <row r="8" spans="1:46" ht="300" x14ac:dyDescent="0.2">
      <c r="A8" s="1" t="s">
        <v>37</v>
      </c>
      <c r="B8" s="2"/>
      <c r="C8" s="3" t="s">
        <v>39</v>
      </c>
      <c r="D8" s="4" t="s">
        <v>57</v>
      </c>
      <c r="E8" s="4" t="s">
        <v>58</v>
      </c>
      <c r="F8" s="184" t="s">
        <v>59</v>
      </c>
      <c r="G8" s="18" t="s">
        <v>60</v>
      </c>
      <c r="H8" s="5" t="s">
        <v>61</v>
      </c>
      <c r="I8" s="13" t="s">
        <v>51</v>
      </c>
      <c r="J8" s="307" t="s">
        <v>62</v>
      </c>
      <c r="K8" s="308"/>
      <c r="L8" s="306" t="s">
        <v>46</v>
      </c>
      <c r="M8" s="306" t="s">
        <v>47</v>
      </c>
      <c r="N8" s="306" t="s">
        <v>48</v>
      </c>
      <c r="O8" s="6" t="s">
        <v>56</v>
      </c>
      <c r="P8" s="19">
        <f>1/1</f>
        <v>1</v>
      </c>
      <c r="Q8" s="5" t="s">
        <v>745</v>
      </c>
      <c r="R8" s="19" t="s">
        <v>579</v>
      </c>
      <c r="S8" s="5" t="s">
        <v>743</v>
      </c>
      <c r="T8" s="19" t="s">
        <v>579</v>
      </c>
      <c r="U8" s="5" t="s">
        <v>746</v>
      </c>
      <c r="V8" s="24"/>
      <c r="W8" s="5"/>
      <c r="X8" s="23"/>
      <c r="Y8" s="5"/>
      <c r="Z8" s="14"/>
      <c r="AA8" s="18"/>
      <c r="AB8" s="24"/>
      <c r="AC8" s="5"/>
      <c r="AD8" s="24"/>
      <c r="AE8" s="22"/>
      <c r="AF8" s="24"/>
      <c r="AG8" s="191"/>
      <c r="AH8" s="24"/>
      <c r="AI8" s="22"/>
      <c r="AJ8" s="24"/>
      <c r="AK8" s="18"/>
      <c r="AL8" s="23"/>
      <c r="AM8" s="5"/>
      <c r="AN8" s="6"/>
      <c r="AO8" s="19"/>
      <c r="AP8" s="6"/>
      <c r="AQ8" s="10"/>
      <c r="AR8" s="10"/>
      <c r="AS8" s="222"/>
      <c r="AT8" s="26" t="str">
        <f>IF($AL8&gt;=25%,"RESULTADOS FAVORABLES",IF($AL8&lt;12.5%,"ACCIÓN CORRECTIVA",IF($AL8&lt;24%,"OPORTUNIDAD DE MEJORA")))</f>
        <v>ACCIÓN CORRECTIVA</v>
      </c>
    </row>
    <row r="9" spans="1:46" ht="255" x14ac:dyDescent="0.2">
      <c r="A9" s="1" t="s">
        <v>37</v>
      </c>
      <c r="B9" s="229" t="s">
        <v>63</v>
      </c>
      <c r="C9" s="3" t="s">
        <v>64</v>
      </c>
      <c r="D9" s="4" t="s">
        <v>65</v>
      </c>
      <c r="E9" s="4" t="s">
        <v>66</v>
      </c>
      <c r="F9" s="184" t="s">
        <v>67</v>
      </c>
      <c r="G9" s="12" t="s">
        <v>68</v>
      </c>
      <c r="H9" s="5" t="s">
        <v>69</v>
      </c>
      <c r="I9" s="13" t="s">
        <v>51</v>
      </c>
      <c r="J9" s="307" t="s">
        <v>70</v>
      </c>
      <c r="K9" s="308"/>
      <c r="L9" s="13" t="s">
        <v>46</v>
      </c>
      <c r="M9" s="306" t="s">
        <v>47</v>
      </c>
      <c r="N9" s="6" t="s">
        <v>48</v>
      </c>
      <c r="O9" s="6" t="s">
        <v>48</v>
      </c>
      <c r="P9" s="17">
        <v>0.03</v>
      </c>
      <c r="Q9" s="235" t="s">
        <v>543</v>
      </c>
      <c r="R9" s="14">
        <v>0.04</v>
      </c>
      <c r="S9" s="235" t="s">
        <v>544</v>
      </c>
      <c r="T9" s="14">
        <f>11/35</f>
        <v>0.31428571428571428</v>
      </c>
      <c r="U9" s="235" t="s">
        <v>545</v>
      </c>
      <c r="V9" s="14"/>
      <c r="W9" s="27"/>
      <c r="X9" s="14"/>
      <c r="Y9" s="27"/>
      <c r="Z9" s="14"/>
      <c r="AA9" s="27"/>
      <c r="AB9" s="14"/>
      <c r="AC9" s="18"/>
      <c r="AD9" s="14"/>
      <c r="AE9" s="169"/>
      <c r="AF9" s="14"/>
      <c r="AG9" s="18"/>
      <c r="AH9" s="14"/>
      <c r="AI9" s="170"/>
      <c r="AJ9" s="14"/>
      <c r="AK9" s="18"/>
      <c r="AL9" s="14"/>
      <c r="AM9" s="18"/>
      <c r="AN9" s="10" t="s">
        <v>673</v>
      </c>
      <c r="AO9" s="19">
        <v>1</v>
      </c>
      <c r="AP9" s="6"/>
      <c r="AQ9" s="10"/>
      <c r="AR9" s="10"/>
      <c r="AS9" s="128"/>
      <c r="AT9" s="20" t="str">
        <f>IF($AL9&gt;=25%,"RESULTADOS FAVORABLES",IF($AL9&lt;12.5%,"ACCIÓN CORRECTIVA",IF($AL9&lt;24%,"OPORTUNIDAD DE MEJORA")))</f>
        <v>ACCIÓN CORRECTIVA</v>
      </c>
    </row>
    <row r="10" spans="1:46" ht="345" x14ac:dyDescent="0.2">
      <c r="A10" s="1" t="s">
        <v>37</v>
      </c>
      <c r="B10" s="229"/>
      <c r="C10" s="3" t="s">
        <v>64</v>
      </c>
      <c r="D10" s="4"/>
      <c r="E10" s="4" t="s">
        <v>66</v>
      </c>
      <c r="F10" s="184" t="s">
        <v>71</v>
      </c>
      <c r="G10" s="12" t="s">
        <v>72</v>
      </c>
      <c r="H10" s="5" t="s">
        <v>73</v>
      </c>
      <c r="I10" s="13" t="s">
        <v>51</v>
      </c>
      <c r="J10" s="307" t="s">
        <v>74</v>
      </c>
      <c r="K10" s="308"/>
      <c r="L10" s="13" t="s">
        <v>46</v>
      </c>
      <c r="M10" s="306" t="s">
        <v>47</v>
      </c>
      <c r="N10" s="6" t="s">
        <v>48</v>
      </c>
      <c r="O10" s="6" t="s">
        <v>48</v>
      </c>
      <c r="P10" s="14">
        <f>9/9</f>
        <v>1</v>
      </c>
      <c r="Q10" s="235" t="s">
        <v>546</v>
      </c>
      <c r="R10" s="28">
        <f>55/55</f>
        <v>1</v>
      </c>
      <c r="S10" s="235" t="s">
        <v>547</v>
      </c>
      <c r="T10" s="28">
        <f>18/18</f>
        <v>1</v>
      </c>
      <c r="U10" s="235" t="s">
        <v>548</v>
      </c>
      <c r="V10" s="14"/>
      <c r="W10" s="27"/>
      <c r="X10" s="14"/>
      <c r="Y10" s="27"/>
      <c r="Z10" s="14"/>
      <c r="AA10" s="27"/>
      <c r="AB10" s="14"/>
      <c r="AC10" s="27"/>
      <c r="AD10" s="14"/>
      <c r="AE10" s="198"/>
      <c r="AF10" s="14"/>
      <c r="AG10" s="27"/>
      <c r="AH10" s="14"/>
      <c r="AI10" s="169"/>
      <c r="AJ10" s="14"/>
      <c r="AK10" s="18"/>
      <c r="AL10" s="14"/>
      <c r="AM10" s="18"/>
      <c r="AN10" s="10" t="s">
        <v>703</v>
      </c>
      <c r="AO10" s="23">
        <v>1</v>
      </c>
      <c r="AP10" s="6"/>
      <c r="AQ10" s="10"/>
      <c r="AR10" s="10"/>
      <c r="AS10" s="50"/>
      <c r="AT10" s="20" t="str">
        <f>IF($AL10&gt;=25%,"RESULTADOS FAVORABLES",IF($AL10&lt;12.5%,"ACCIÓN CORRECTIVA",IF($AL10&lt;24%,"OPORTUNIDAD DE MEJORA")))</f>
        <v>ACCIÓN CORRECTIVA</v>
      </c>
    </row>
    <row r="11" spans="1:46" ht="409.5" x14ac:dyDescent="0.2">
      <c r="A11" s="1" t="s">
        <v>37</v>
      </c>
      <c r="B11" s="290"/>
      <c r="C11" s="3" t="s">
        <v>64</v>
      </c>
      <c r="D11" s="29" t="s">
        <v>75</v>
      </c>
      <c r="E11" s="30" t="s">
        <v>76</v>
      </c>
      <c r="F11" s="226" t="s">
        <v>77</v>
      </c>
      <c r="G11" s="30" t="s">
        <v>78</v>
      </c>
      <c r="H11" s="295" t="s">
        <v>79</v>
      </c>
      <c r="I11" s="31" t="s">
        <v>51</v>
      </c>
      <c r="J11" s="307" t="s">
        <v>80</v>
      </c>
      <c r="K11" s="308"/>
      <c r="L11" s="31" t="s">
        <v>46</v>
      </c>
      <c r="M11" s="306" t="s">
        <v>47</v>
      </c>
      <c r="N11" s="298" t="s">
        <v>48</v>
      </c>
      <c r="O11" s="298" t="s">
        <v>48</v>
      </c>
      <c r="P11" s="493">
        <f>(3/16)*100</f>
        <v>18.75</v>
      </c>
      <c r="Q11" s="494" t="s">
        <v>774</v>
      </c>
      <c r="R11" s="445">
        <f>(16/16)</f>
        <v>1</v>
      </c>
      <c r="S11" s="10" t="s">
        <v>775</v>
      </c>
      <c r="T11" s="445">
        <f>(16/16)</f>
        <v>1</v>
      </c>
      <c r="U11" s="5" t="s">
        <v>776</v>
      </c>
      <c r="V11" s="14"/>
      <c r="W11" s="18"/>
      <c r="X11" s="14"/>
      <c r="Y11" s="18"/>
      <c r="Z11" s="14"/>
      <c r="AA11" s="18"/>
      <c r="AB11" s="14"/>
      <c r="AC11" s="18"/>
      <c r="AD11" s="14"/>
      <c r="AE11" s="169"/>
      <c r="AF11" s="14"/>
      <c r="AG11" s="18"/>
      <c r="AH11" s="14"/>
      <c r="AI11" s="169"/>
      <c r="AJ11" s="14"/>
      <c r="AK11" s="18"/>
      <c r="AL11" s="61"/>
      <c r="AM11" s="18"/>
      <c r="AN11" s="6"/>
      <c r="AO11" s="23"/>
      <c r="AP11" s="6"/>
      <c r="AQ11" s="10"/>
      <c r="AR11" s="10"/>
      <c r="AS11" s="222"/>
      <c r="AT11" s="26" t="str">
        <f>IF($AL11&gt;=25%,"RESULTADOS FAVORABLES",IF($AL11&lt;12.5%,"ACCIÓN CORRECTIVA",IF($AL11&lt;24%,"OPORTUNIDAD DE MEJORA")))</f>
        <v>ACCIÓN CORRECTIVA</v>
      </c>
    </row>
    <row r="12" spans="1:46" ht="210" x14ac:dyDescent="0.2">
      <c r="A12" s="32" t="s">
        <v>81</v>
      </c>
      <c r="B12" s="355" t="s">
        <v>82</v>
      </c>
      <c r="C12" s="33" t="s">
        <v>83</v>
      </c>
      <c r="D12" s="4" t="s">
        <v>84</v>
      </c>
      <c r="E12" s="4" t="s">
        <v>85</v>
      </c>
      <c r="F12" s="184" t="s">
        <v>86</v>
      </c>
      <c r="G12" s="5" t="s">
        <v>522</v>
      </c>
      <c r="H12" s="5" t="s">
        <v>523</v>
      </c>
      <c r="I12" s="306" t="s">
        <v>44</v>
      </c>
      <c r="J12" s="307" t="s">
        <v>529</v>
      </c>
      <c r="K12" s="308"/>
      <c r="L12" s="306" t="s">
        <v>46</v>
      </c>
      <c r="M12" s="306" t="s">
        <v>87</v>
      </c>
      <c r="N12" s="306" t="s">
        <v>48</v>
      </c>
      <c r="O12" s="306" t="s">
        <v>48</v>
      </c>
      <c r="P12" s="23">
        <v>0.82499999999999996</v>
      </c>
      <c r="Q12" s="5" t="s">
        <v>549</v>
      </c>
      <c r="R12" s="19">
        <v>1.62</v>
      </c>
      <c r="S12" s="5" t="s">
        <v>550</v>
      </c>
      <c r="T12" s="25">
        <v>0.245</v>
      </c>
      <c r="U12" s="5" t="s">
        <v>551</v>
      </c>
      <c r="V12" s="34"/>
      <c r="W12" s="5"/>
      <c r="X12" s="34"/>
      <c r="Y12" s="5"/>
      <c r="Z12" s="34"/>
      <c r="AA12" s="5"/>
      <c r="AB12" s="34"/>
      <c r="AC12" s="5"/>
      <c r="AD12" s="34"/>
      <c r="AE12" s="22"/>
      <c r="AF12" s="34"/>
      <c r="AG12" s="5"/>
      <c r="AH12" s="35"/>
      <c r="AI12" s="22"/>
      <c r="AJ12" s="35"/>
      <c r="AK12" s="5"/>
      <c r="AL12" s="35"/>
      <c r="AM12" s="5"/>
      <c r="AN12" s="19"/>
      <c r="AO12" s="306"/>
      <c r="AP12" s="6"/>
      <c r="AQ12" s="6"/>
      <c r="AR12" s="10"/>
      <c r="AS12" s="128"/>
      <c r="AT12" s="20"/>
    </row>
    <row r="13" spans="1:46" ht="255" x14ac:dyDescent="0.2">
      <c r="A13" s="32" t="s">
        <v>81</v>
      </c>
      <c r="B13" s="356"/>
      <c r="C13" s="33" t="s">
        <v>83</v>
      </c>
      <c r="D13" s="327" t="s">
        <v>536</v>
      </c>
      <c r="E13" s="54" t="s">
        <v>88</v>
      </c>
      <c r="F13" s="184" t="s">
        <v>524</v>
      </c>
      <c r="G13" s="5" t="s">
        <v>525</v>
      </c>
      <c r="H13" s="5" t="s">
        <v>526</v>
      </c>
      <c r="I13" s="306" t="s">
        <v>44</v>
      </c>
      <c r="J13" s="401" t="s">
        <v>530</v>
      </c>
      <c r="K13" s="308"/>
      <c r="L13" s="306" t="s">
        <v>46</v>
      </c>
      <c r="M13" s="306" t="s">
        <v>87</v>
      </c>
      <c r="N13" s="306" t="s">
        <v>48</v>
      </c>
      <c r="O13" s="306" t="s">
        <v>48</v>
      </c>
      <c r="P13" s="23">
        <v>0.45</v>
      </c>
      <c r="Q13" s="306" t="s">
        <v>552</v>
      </c>
      <c r="R13" s="236">
        <v>0.72299999999999998</v>
      </c>
      <c r="S13" s="5" t="s">
        <v>553</v>
      </c>
      <c r="T13" s="25">
        <v>0.498</v>
      </c>
      <c r="U13" s="5" t="s">
        <v>554</v>
      </c>
      <c r="V13" s="34"/>
      <c r="W13" s="5"/>
      <c r="X13" s="34"/>
      <c r="Y13" s="5"/>
      <c r="Z13" s="34"/>
      <c r="AA13" s="5"/>
      <c r="AB13" s="34"/>
      <c r="AC13" s="5"/>
      <c r="AD13" s="34"/>
      <c r="AE13" s="22"/>
      <c r="AF13" s="34"/>
      <c r="AG13" s="5"/>
      <c r="AH13" s="35"/>
      <c r="AI13" s="22"/>
      <c r="AJ13" s="35"/>
      <c r="AK13" s="5"/>
      <c r="AL13" s="35"/>
      <c r="AM13" s="5"/>
      <c r="AN13" s="19"/>
      <c r="AO13" s="10"/>
      <c r="AP13" s="6"/>
      <c r="AQ13" s="6"/>
      <c r="AR13" s="10"/>
      <c r="AS13" s="128"/>
      <c r="AT13" s="20"/>
    </row>
    <row r="14" spans="1:46" ht="15" customHeight="1" x14ac:dyDescent="0.2">
      <c r="A14" s="392" t="s">
        <v>81</v>
      </c>
      <c r="B14" s="356"/>
      <c r="C14" s="395" t="s">
        <v>83</v>
      </c>
      <c r="D14" s="328"/>
      <c r="E14" s="330" t="s">
        <v>88</v>
      </c>
      <c r="F14" s="332" t="s">
        <v>89</v>
      </c>
      <c r="G14" s="403" t="s">
        <v>527</v>
      </c>
      <c r="H14" s="403" t="s">
        <v>528</v>
      </c>
      <c r="I14" s="401" t="s">
        <v>44</v>
      </c>
      <c r="J14" s="334" t="s">
        <v>539</v>
      </c>
      <c r="K14" s="294" t="s">
        <v>531</v>
      </c>
      <c r="L14" s="353" t="s">
        <v>46</v>
      </c>
      <c r="M14" s="353" t="s">
        <v>87</v>
      </c>
      <c r="N14" s="353" t="s">
        <v>48</v>
      </c>
      <c r="O14" s="353" t="s">
        <v>48</v>
      </c>
      <c r="P14" s="237">
        <v>8.9999999999999998E-4</v>
      </c>
      <c r="Q14" s="353" t="s">
        <v>555</v>
      </c>
      <c r="R14" s="236">
        <v>2.2000000000000001E-3</v>
      </c>
      <c r="S14" s="353" t="s">
        <v>556</v>
      </c>
      <c r="T14" s="236">
        <v>1.9E-3</v>
      </c>
      <c r="U14" s="353" t="s">
        <v>557</v>
      </c>
      <c r="V14" s="335"/>
      <c r="W14" s="335"/>
      <c r="X14" s="335"/>
      <c r="Y14" s="335"/>
      <c r="Z14" s="335"/>
      <c r="AA14" s="335"/>
      <c r="AB14" s="335"/>
      <c r="AC14" s="335"/>
      <c r="AD14" s="335"/>
      <c r="AE14" s="335"/>
      <c r="AF14" s="335"/>
      <c r="AG14" s="335"/>
      <c r="AH14" s="335"/>
      <c r="AI14" s="335"/>
      <c r="AJ14" s="335"/>
      <c r="AK14" s="335"/>
      <c r="AL14" s="335"/>
      <c r="AM14" s="335"/>
      <c r="AN14" s="350"/>
      <c r="AO14" s="341"/>
      <c r="AP14" s="341"/>
      <c r="AQ14" s="341"/>
      <c r="AR14" s="344"/>
      <c r="AS14" s="347"/>
      <c r="AT14" s="338"/>
    </row>
    <row r="15" spans="1:46" ht="15.75" customHeight="1" x14ac:dyDescent="0.2">
      <c r="A15" s="393"/>
      <c r="B15" s="356"/>
      <c r="C15" s="395"/>
      <c r="D15" s="328"/>
      <c r="E15" s="330"/>
      <c r="F15" s="332"/>
      <c r="G15" s="404"/>
      <c r="H15" s="404"/>
      <c r="I15" s="406"/>
      <c r="J15" s="334"/>
      <c r="K15" s="294" t="s">
        <v>532</v>
      </c>
      <c r="L15" s="354"/>
      <c r="M15" s="354"/>
      <c r="N15" s="354"/>
      <c r="O15" s="354"/>
      <c r="P15" s="237">
        <v>3.5999999999999999E-3</v>
      </c>
      <c r="Q15" s="354"/>
      <c r="R15" s="238">
        <v>4.0000000000000001E-3</v>
      </c>
      <c r="S15" s="354"/>
      <c r="T15" s="236">
        <v>7.7999999999999996E-3</v>
      </c>
      <c r="U15" s="354"/>
      <c r="V15" s="336"/>
      <c r="W15" s="336"/>
      <c r="X15" s="336"/>
      <c r="Y15" s="336"/>
      <c r="Z15" s="336"/>
      <c r="AA15" s="336"/>
      <c r="AB15" s="336"/>
      <c r="AC15" s="336"/>
      <c r="AD15" s="336"/>
      <c r="AE15" s="336"/>
      <c r="AF15" s="336"/>
      <c r="AG15" s="336"/>
      <c r="AH15" s="336"/>
      <c r="AI15" s="336"/>
      <c r="AJ15" s="336"/>
      <c r="AK15" s="336"/>
      <c r="AL15" s="336"/>
      <c r="AM15" s="336"/>
      <c r="AN15" s="351"/>
      <c r="AO15" s="342"/>
      <c r="AP15" s="342"/>
      <c r="AQ15" s="342"/>
      <c r="AR15" s="345"/>
      <c r="AS15" s="348"/>
      <c r="AT15" s="339"/>
    </row>
    <row r="16" spans="1:46" ht="15.75" customHeight="1" x14ac:dyDescent="0.2">
      <c r="A16" s="393"/>
      <c r="B16" s="356"/>
      <c r="C16" s="395"/>
      <c r="D16" s="328"/>
      <c r="E16" s="330"/>
      <c r="F16" s="332"/>
      <c r="G16" s="404"/>
      <c r="H16" s="404"/>
      <c r="I16" s="406"/>
      <c r="J16" s="334"/>
      <c r="K16" s="294" t="s">
        <v>534</v>
      </c>
      <c r="L16" s="354"/>
      <c r="M16" s="354"/>
      <c r="N16" s="354"/>
      <c r="O16" s="354"/>
      <c r="P16" s="237">
        <v>1.4999999999999999E-2</v>
      </c>
      <c r="Q16" s="354"/>
      <c r="R16" s="238">
        <v>4.1000000000000003E-3</v>
      </c>
      <c r="S16" s="354"/>
      <c r="T16" s="236">
        <v>4.0000000000000002E-4</v>
      </c>
      <c r="U16" s="354"/>
      <c r="V16" s="336"/>
      <c r="W16" s="336"/>
      <c r="X16" s="336"/>
      <c r="Y16" s="336"/>
      <c r="Z16" s="336"/>
      <c r="AA16" s="336"/>
      <c r="AB16" s="336"/>
      <c r="AC16" s="336"/>
      <c r="AD16" s="336"/>
      <c r="AE16" s="336"/>
      <c r="AF16" s="336"/>
      <c r="AG16" s="336"/>
      <c r="AH16" s="336"/>
      <c r="AI16" s="336"/>
      <c r="AJ16" s="336"/>
      <c r="AK16" s="336"/>
      <c r="AL16" s="336"/>
      <c r="AM16" s="336"/>
      <c r="AN16" s="351"/>
      <c r="AO16" s="342"/>
      <c r="AP16" s="342"/>
      <c r="AQ16" s="342"/>
      <c r="AR16" s="345"/>
      <c r="AS16" s="348"/>
      <c r="AT16" s="339"/>
    </row>
    <row r="17" spans="1:46" ht="15.75" customHeight="1" x14ac:dyDescent="0.2">
      <c r="A17" s="393"/>
      <c r="B17" s="356"/>
      <c r="C17" s="395"/>
      <c r="D17" s="328"/>
      <c r="E17" s="330"/>
      <c r="F17" s="332"/>
      <c r="G17" s="404"/>
      <c r="H17" s="404"/>
      <c r="I17" s="406"/>
      <c r="J17" s="334"/>
      <c r="K17" s="294" t="s">
        <v>533</v>
      </c>
      <c r="L17" s="354"/>
      <c r="M17" s="354"/>
      <c r="N17" s="354"/>
      <c r="O17" s="354"/>
      <c r="P17" s="238">
        <v>1.4E-3</v>
      </c>
      <c r="Q17" s="354"/>
      <c r="R17" s="238">
        <v>2.7000000000000001E-3</v>
      </c>
      <c r="S17" s="354"/>
      <c r="T17" s="236">
        <v>1.44E-2</v>
      </c>
      <c r="U17" s="354"/>
      <c r="V17" s="336"/>
      <c r="W17" s="336"/>
      <c r="X17" s="336"/>
      <c r="Y17" s="336"/>
      <c r="Z17" s="336"/>
      <c r="AA17" s="336"/>
      <c r="AB17" s="336"/>
      <c r="AC17" s="336"/>
      <c r="AD17" s="336"/>
      <c r="AE17" s="336"/>
      <c r="AF17" s="336"/>
      <c r="AG17" s="336"/>
      <c r="AH17" s="336"/>
      <c r="AI17" s="336"/>
      <c r="AJ17" s="336"/>
      <c r="AK17" s="336"/>
      <c r="AL17" s="336"/>
      <c r="AM17" s="336"/>
      <c r="AN17" s="351"/>
      <c r="AO17" s="342"/>
      <c r="AP17" s="342"/>
      <c r="AQ17" s="342"/>
      <c r="AR17" s="345"/>
      <c r="AS17" s="348"/>
      <c r="AT17" s="339"/>
    </row>
    <row r="18" spans="1:46" ht="15" customHeight="1" x14ac:dyDescent="0.2">
      <c r="A18" s="394"/>
      <c r="B18" s="356"/>
      <c r="C18" s="396"/>
      <c r="D18" s="328"/>
      <c r="E18" s="331"/>
      <c r="F18" s="333"/>
      <c r="G18" s="405"/>
      <c r="H18" s="405"/>
      <c r="I18" s="402"/>
      <c r="J18" s="334"/>
      <c r="K18" s="294" t="s">
        <v>535</v>
      </c>
      <c r="L18" s="370"/>
      <c r="M18" s="370"/>
      <c r="N18" s="370"/>
      <c r="O18" s="370"/>
      <c r="P18" s="303">
        <v>0.13600000000000001</v>
      </c>
      <c r="Q18" s="354"/>
      <c r="R18" s="303">
        <v>1.9699999999999999E-2</v>
      </c>
      <c r="S18" s="354"/>
      <c r="T18" s="236">
        <v>0</v>
      </c>
      <c r="U18" s="354"/>
      <c r="V18" s="337"/>
      <c r="W18" s="337"/>
      <c r="X18" s="337"/>
      <c r="Y18" s="337"/>
      <c r="Z18" s="337"/>
      <c r="AA18" s="337"/>
      <c r="AB18" s="337"/>
      <c r="AC18" s="337"/>
      <c r="AD18" s="337"/>
      <c r="AE18" s="337"/>
      <c r="AF18" s="337"/>
      <c r="AG18" s="337"/>
      <c r="AH18" s="337"/>
      <c r="AI18" s="337"/>
      <c r="AJ18" s="337"/>
      <c r="AK18" s="337"/>
      <c r="AL18" s="337"/>
      <c r="AM18" s="337"/>
      <c r="AN18" s="352"/>
      <c r="AO18" s="343"/>
      <c r="AP18" s="343"/>
      <c r="AQ18" s="343"/>
      <c r="AR18" s="346"/>
      <c r="AS18" s="349"/>
      <c r="AT18" s="340"/>
    </row>
    <row r="19" spans="1:46" ht="30" customHeight="1" x14ac:dyDescent="0.2">
      <c r="A19" s="32" t="s">
        <v>81</v>
      </c>
      <c r="B19" s="356"/>
      <c r="C19" s="33" t="s">
        <v>83</v>
      </c>
      <c r="D19" s="328"/>
      <c r="E19" s="54" t="s">
        <v>88</v>
      </c>
      <c r="F19" s="184" t="s">
        <v>521</v>
      </c>
      <c r="G19" s="5" t="s">
        <v>542</v>
      </c>
      <c r="H19" s="5" t="s">
        <v>537</v>
      </c>
      <c r="I19" s="306" t="s">
        <v>44</v>
      </c>
      <c r="J19" s="402" t="s">
        <v>538</v>
      </c>
      <c r="K19" s="308"/>
      <c r="L19" s="306" t="s">
        <v>46</v>
      </c>
      <c r="M19" s="306" t="s">
        <v>87</v>
      </c>
      <c r="N19" s="306" t="s">
        <v>48</v>
      </c>
      <c r="O19" s="306" t="s">
        <v>48</v>
      </c>
      <c r="P19" s="61">
        <v>0.98</v>
      </c>
      <c r="Q19" s="446" t="s">
        <v>558</v>
      </c>
      <c r="R19" s="446">
        <v>1.27</v>
      </c>
      <c r="S19" s="446" t="s">
        <v>559</v>
      </c>
      <c r="T19" s="446">
        <v>0.73</v>
      </c>
      <c r="U19" s="446" t="s">
        <v>560</v>
      </c>
      <c r="V19" s="446"/>
      <c r="W19" s="5"/>
      <c r="X19" s="446"/>
      <c r="Y19" s="5"/>
      <c r="Z19" s="446"/>
      <c r="AA19" s="5"/>
      <c r="AB19" s="446"/>
      <c r="AC19" s="5"/>
      <c r="AD19" s="446"/>
      <c r="AE19" s="22"/>
      <c r="AF19" s="446"/>
      <c r="AG19" s="5"/>
      <c r="AH19" s="36"/>
      <c r="AI19" s="22"/>
      <c r="AJ19" s="36"/>
      <c r="AK19" s="5"/>
      <c r="AL19" s="36"/>
      <c r="AM19" s="5"/>
      <c r="AN19" s="14"/>
      <c r="AO19" s="10"/>
      <c r="AP19" s="6"/>
      <c r="AQ19" s="6"/>
      <c r="AR19" s="10"/>
      <c r="AS19" s="128"/>
      <c r="AT19" s="20"/>
    </row>
    <row r="20" spans="1:46" ht="315" x14ac:dyDescent="0.2">
      <c r="A20" s="32" t="s">
        <v>81</v>
      </c>
      <c r="B20" s="356"/>
      <c r="C20" s="33" t="s">
        <v>83</v>
      </c>
      <c r="D20" s="329"/>
      <c r="E20" s="4" t="s">
        <v>88</v>
      </c>
      <c r="F20" s="184" t="s">
        <v>90</v>
      </c>
      <c r="G20" s="5" t="s">
        <v>540</v>
      </c>
      <c r="H20" s="5" t="s">
        <v>541</v>
      </c>
      <c r="I20" s="306" t="s">
        <v>44</v>
      </c>
      <c r="J20" s="307" t="s">
        <v>91</v>
      </c>
      <c r="K20" s="308"/>
      <c r="L20" s="306" t="s">
        <v>46</v>
      </c>
      <c r="M20" s="306" t="s">
        <v>87</v>
      </c>
      <c r="N20" s="306" t="s">
        <v>48</v>
      </c>
      <c r="O20" s="306" t="s">
        <v>48</v>
      </c>
      <c r="P20" s="447">
        <v>0</v>
      </c>
      <c r="Q20" s="446" t="s">
        <v>561</v>
      </c>
      <c r="R20" s="446">
        <v>3.5200000000000002E-2</v>
      </c>
      <c r="S20" s="446" t="s">
        <v>731</v>
      </c>
      <c r="T20" s="446">
        <v>2.9000000000000001E-2</v>
      </c>
      <c r="U20" s="446" t="s">
        <v>562</v>
      </c>
      <c r="V20" s="446"/>
      <c r="W20" s="448"/>
      <c r="X20" s="446"/>
      <c r="Y20" s="448"/>
      <c r="Z20" s="446"/>
      <c r="AA20" s="448"/>
      <c r="AB20" s="446"/>
      <c r="AC20" s="448"/>
      <c r="AD20" s="446"/>
      <c r="AE20" s="449"/>
      <c r="AF20" s="446"/>
      <c r="AG20" s="448"/>
      <c r="AH20" s="5"/>
      <c r="AI20" s="22"/>
      <c r="AJ20" s="5"/>
      <c r="AK20" s="5"/>
      <c r="AL20" s="5"/>
      <c r="AM20" s="5"/>
      <c r="AN20" s="19"/>
      <c r="AO20" s="10"/>
      <c r="AP20" s="6"/>
      <c r="AQ20" s="6"/>
      <c r="AR20" s="10"/>
      <c r="AS20" s="128"/>
      <c r="AT20" s="20"/>
    </row>
    <row r="21" spans="1:46" ht="225" customHeight="1" x14ac:dyDescent="0.2">
      <c r="A21" s="37" t="s">
        <v>81</v>
      </c>
      <c r="B21" s="230" t="s">
        <v>92</v>
      </c>
      <c r="C21" s="38" t="s">
        <v>93</v>
      </c>
      <c r="D21" s="305" t="s">
        <v>94</v>
      </c>
      <c r="E21" s="296" t="s">
        <v>95</v>
      </c>
      <c r="F21" s="300" t="s">
        <v>96</v>
      </c>
      <c r="G21" s="296" t="s">
        <v>515</v>
      </c>
      <c r="H21" s="296" t="s">
        <v>97</v>
      </c>
      <c r="I21" s="293" t="s">
        <v>44</v>
      </c>
      <c r="J21" s="307" t="s">
        <v>98</v>
      </c>
      <c r="K21" s="308"/>
      <c r="L21" s="293" t="s">
        <v>46</v>
      </c>
      <c r="M21" s="293" t="s">
        <v>99</v>
      </c>
      <c r="N21" s="293" t="s">
        <v>48</v>
      </c>
      <c r="O21" s="293" t="s">
        <v>48</v>
      </c>
      <c r="P21" s="36">
        <f>1161456993/2378130388</f>
        <v>0.48839079592132101</v>
      </c>
      <c r="Q21" s="191" t="s">
        <v>750</v>
      </c>
      <c r="R21" s="8">
        <f>604186218/2057745412</f>
        <v>0.29361563120326373</v>
      </c>
      <c r="S21" s="24" t="s">
        <v>751</v>
      </c>
      <c r="T21" s="8">
        <f>668151780/4015067974</f>
        <v>0.16641107556003734</v>
      </c>
      <c r="U21" s="24" t="s">
        <v>752</v>
      </c>
      <c r="V21" s="39"/>
      <c r="W21" s="5"/>
      <c r="X21" s="40"/>
      <c r="Y21" s="302"/>
      <c r="Z21" s="39"/>
      <c r="AA21" s="302"/>
      <c r="AB21" s="39"/>
      <c r="AC21" s="302"/>
      <c r="AD21" s="39"/>
      <c r="AE21" s="197"/>
      <c r="AF21" s="39"/>
      <c r="AG21" s="302"/>
      <c r="AH21" s="188"/>
      <c r="AI21" s="41"/>
      <c r="AJ21" s="188"/>
      <c r="AK21" s="296"/>
      <c r="AL21" s="188"/>
      <c r="AM21" s="296"/>
      <c r="AN21" s="6" t="s">
        <v>673</v>
      </c>
      <c r="AO21" s="6" t="s">
        <v>730</v>
      </c>
      <c r="AP21" s="6"/>
      <c r="AQ21" s="10"/>
      <c r="AR21" s="10"/>
      <c r="AS21" s="50"/>
      <c r="AT21" s="26" t="str">
        <f>+[1]Hoja1!$AS$22</f>
        <v>ACCIÓN CORRECTIVA</v>
      </c>
    </row>
    <row r="22" spans="1:46" ht="240" customHeight="1" x14ac:dyDescent="0.2">
      <c r="A22" s="1" t="s">
        <v>81</v>
      </c>
      <c r="B22" s="297"/>
      <c r="C22" s="33" t="s">
        <v>93</v>
      </c>
      <c r="D22" s="4" t="s">
        <v>100</v>
      </c>
      <c r="E22" s="5" t="s">
        <v>101</v>
      </c>
      <c r="F22" s="195" t="s">
        <v>102</v>
      </c>
      <c r="G22" s="5" t="s">
        <v>103</v>
      </c>
      <c r="H22" s="5" t="s">
        <v>104</v>
      </c>
      <c r="I22" s="306" t="s">
        <v>44</v>
      </c>
      <c r="J22" s="307" t="s">
        <v>105</v>
      </c>
      <c r="K22" s="308"/>
      <c r="L22" s="293" t="s">
        <v>46</v>
      </c>
      <c r="M22" s="293" t="s">
        <v>99</v>
      </c>
      <c r="N22" s="306" t="s">
        <v>48</v>
      </c>
      <c r="O22" s="306" t="s">
        <v>48</v>
      </c>
      <c r="P22" s="36">
        <f>1018070148/4564335288</f>
        <v>0.22304894004535278</v>
      </c>
      <c r="Q22" s="191" t="s">
        <v>563</v>
      </c>
      <c r="R22" s="36">
        <f>391278089/5189920753</f>
        <v>7.5391919765600321E-2</v>
      </c>
      <c r="S22" s="191" t="s">
        <v>564</v>
      </c>
      <c r="T22" s="24">
        <f>278561027/310214976</f>
        <v>0.89796124800886468</v>
      </c>
      <c r="U22" s="24" t="s">
        <v>565</v>
      </c>
      <c r="V22" s="24"/>
      <c r="W22" s="191"/>
      <c r="X22" s="24"/>
      <c r="Y22" s="191"/>
      <c r="Z22" s="24"/>
      <c r="AA22" s="191"/>
      <c r="AB22" s="24"/>
      <c r="AC22" s="191"/>
      <c r="AD22" s="24"/>
      <c r="AE22" s="450"/>
      <c r="AF22" s="24"/>
      <c r="AG22" s="191"/>
      <c r="AH22" s="24"/>
      <c r="AI22" s="450"/>
      <c r="AJ22" s="24"/>
      <c r="AK22" s="191"/>
      <c r="AL22" s="24"/>
      <c r="AM22" s="191"/>
      <c r="AN22" s="43"/>
      <c r="AO22" s="44"/>
      <c r="AP22" s="6"/>
      <c r="AQ22" s="10"/>
      <c r="AR22" s="10"/>
      <c r="AS22" s="191"/>
      <c r="AT22" s="20" t="str">
        <f>IF($AL22&gt;=2.5%,"RESULTADOS FAVORABLES",IF($AL22&lt;2%,"ACCIÓN CORRECTIVA",IF($AL22&lt;2.3%,"OPORTUNIDAD DE MEJORA")))</f>
        <v>ACCIÓN CORRECTIVA</v>
      </c>
    </row>
    <row r="23" spans="1:46" ht="270" customHeight="1" x14ac:dyDescent="0.2">
      <c r="A23" s="1" t="s">
        <v>81</v>
      </c>
      <c r="B23" s="297"/>
      <c r="C23" s="33" t="s">
        <v>93</v>
      </c>
      <c r="D23" s="4" t="s">
        <v>106</v>
      </c>
      <c r="E23" s="5" t="s">
        <v>107</v>
      </c>
      <c r="F23" s="195" t="s">
        <v>108</v>
      </c>
      <c r="G23" s="5" t="s">
        <v>109</v>
      </c>
      <c r="H23" s="5" t="s">
        <v>110</v>
      </c>
      <c r="I23" s="306" t="s">
        <v>51</v>
      </c>
      <c r="J23" s="307" t="s">
        <v>111</v>
      </c>
      <c r="K23" s="308"/>
      <c r="L23" s="306" t="s">
        <v>112</v>
      </c>
      <c r="M23" s="293" t="s">
        <v>99</v>
      </c>
      <c r="N23" s="306" t="s">
        <v>48</v>
      </c>
      <c r="O23" s="306" t="s">
        <v>48</v>
      </c>
      <c r="P23" s="24">
        <f>(471819)/(472035+58344)</f>
        <v>0.88958838868054735</v>
      </c>
      <c r="Q23" s="24" t="s">
        <v>566</v>
      </c>
      <c r="R23" s="24">
        <f>(470799+42457+5040)/(472738+59871+16440)</f>
        <v>0.94398860575285626</v>
      </c>
      <c r="S23" s="24" t="s">
        <v>567</v>
      </c>
      <c r="T23" s="24">
        <f>(34183)/(472319+60464)</f>
        <v>6.4159329408032914E-2</v>
      </c>
      <c r="U23" s="24" t="s">
        <v>568</v>
      </c>
      <c r="V23" s="24"/>
      <c r="W23" s="191"/>
      <c r="X23" s="24"/>
      <c r="Y23" s="191"/>
      <c r="Z23" s="24"/>
      <c r="AA23" s="191"/>
      <c r="AB23" s="24"/>
      <c r="AC23" s="191"/>
      <c r="AD23" s="24"/>
      <c r="AE23" s="450"/>
      <c r="AF23" s="24"/>
      <c r="AG23" s="191"/>
      <c r="AH23" s="24"/>
      <c r="AI23" s="450"/>
      <c r="AJ23" s="24"/>
      <c r="AK23" s="451"/>
      <c r="AL23" s="24"/>
      <c r="AM23" s="452"/>
      <c r="AN23" s="453"/>
      <c r="AO23" s="454"/>
      <c r="AP23" s="6"/>
      <c r="AQ23" s="10"/>
      <c r="AR23" s="10"/>
      <c r="AS23" s="128"/>
      <c r="AT23" s="20" t="str">
        <f>IF($AL23&gt;=25%,"RESULTADOS FAVORABLES",IF($AL23&lt;=22.5%,"ACCIÓN CORRECTIVA",IF($AL23&lt;=23%,"OPORTUNIDAD DE MEJORA")))</f>
        <v>ACCIÓN CORRECTIVA</v>
      </c>
    </row>
    <row r="24" spans="1:46" ht="135" x14ac:dyDescent="0.2">
      <c r="A24" s="1" t="s">
        <v>81</v>
      </c>
      <c r="B24" s="297"/>
      <c r="C24" s="33" t="s">
        <v>93</v>
      </c>
      <c r="D24" s="45"/>
      <c r="E24" s="5" t="s">
        <v>107</v>
      </c>
      <c r="F24" s="195" t="s">
        <v>113</v>
      </c>
      <c r="G24" s="5" t="s">
        <v>114</v>
      </c>
      <c r="H24" s="5" t="s">
        <v>115</v>
      </c>
      <c r="I24" s="306" t="s">
        <v>51</v>
      </c>
      <c r="J24" s="307" t="s">
        <v>111</v>
      </c>
      <c r="K24" s="308"/>
      <c r="L24" s="306" t="s">
        <v>112</v>
      </c>
      <c r="M24" s="293" t="s">
        <v>99</v>
      </c>
      <c r="N24" s="306" t="s">
        <v>48</v>
      </c>
      <c r="O24" s="306" t="s">
        <v>48</v>
      </c>
      <c r="P24" s="24">
        <f>471819/472035</f>
        <v>0.99954240681305406</v>
      </c>
      <c r="Q24" s="24" t="s">
        <v>569</v>
      </c>
      <c r="R24" s="24">
        <f>470799/472738</f>
        <v>0.99589836230639384</v>
      </c>
      <c r="S24" s="24" t="s">
        <v>570</v>
      </c>
      <c r="T24" s="24">
        <f>0/472319</f>
        <v>0</v>
      </c>
      <c r="U24" s="24" t="s">
        <v>571</v>
      </c>
      <c r="V24" s="24"/>
      <c r="W24" s="191"/>
      <c r="X24" s="24"/>
      <c r="Y24" s="191"/>
      <c r="Z24" s="24"/>
      <c r="AA24" s="191"/>
      <c r="AB24" s="24"/>
      <c r="AC24" s="191"/>
      <c r="AD24" s="24"/>
      <c r="AE24" s="450"/>
      <c r="AF24" s="24"/>
      <c r="AG24" s="191"/>
      <c r="AH24" s="24"/>
      <c r="AI24" s="450"/>
      <c r="AJ24" s="24"/>
      <c r="AK24" s="191"/>
      <c r="AL24" s="24"/>
      <c r="AM24" s="452"/>
      <c r="AN24" s="453"/>
      <c r="AO24" s="454"/>
      <c r="AP24" s="6"/>
      <c r="AQ24" s="10"/>
      <c r="AR24" s="10"/>
      <c r="AS24" s="128"/>
      <c r="AT24" s="20" t="str">
        <f>IF($AL24&gt;=25%,"RESULTADOS FAVORABLES",IF($AL24&lt;=22.5%,"ACCIÓN CORRECTIVA",IF($AL24&lt;=23%,"OPORTUNIDAD DE MEJORA")))</f>
        <v>ACCIÓN CORRECTIVA</v>
      </c>
    </row>
    <row r="25" spans="1:46" ht="255" x14ac:dyDescent="0.2">
      <c r="A25" s="1" t="s">
        <v>81</v>
      </c>
      <c r="B25" s="297"/>
      <c r="C25" s="33" t="s">
        <v>93</v>
      </c>
      <c r="D25" s="45"/>
      <c r="E25" s="5" t="s">
        <v>107</v>
      </c>
      <c r="F25" s="195" t="s">
        <v>116</v>
      </c>
      <c r="G25" s="5" t="s">
        <v>117</v>
      </c>
      <c r="H25" s="5" t="s">
        <v>118</v>
      </c>
      <c r="I25" s="306" t="s">
        <v>51</v>
      </c>
      <c r="J25" s="307" t="s">
        <v>111</v>
      </c>
      <c r="K25" s="308"/>
      <c r="L25" s="306" t="s">
        <v>112</v>
      </c>
      <c r="M25" s="293" t="s">
        <v>99</v>
      </c>
      <c r="N25" s="306" t="s">
        <v>48</v>
      </c>
      <c r="O25" s="306" t="s">
        <v>48</v>
      </c>
      <c r="P25" s="24">
        <f>0/58344</f>
        <v>0</v>
      </c>
      <c r="Q25" s="24" t="s">
        <v>572</v>
      </c>
      <c r="R25" s="24">
        <f>42457/59871</f>
        <v>0.70914132050575407</v>
      </c>
      <c r="S25" s="24" t="s">
        <v>573</v>
      </c>
      <c r="T25" s="24">
        <f>34183/60464</f>
        <v>0.56534466790156124</v>
      </c>
      <c r="U25" s="24" t="s">
        <v>574</v>
      </c>
      <c r="V25" s="24"/>
      <c r="W25" s="191"/>
      <c r="X25" s="24"/>
      <c r="Y25" s="191"/>
      <c r="Z25" s="24"/>
      <c r="AA25" s="191"/>
      <c r="AB25" s="24"/>
      <c r="AC25" s="191"/>
      <c r="AD25" s="24"/>
      <c r="AE25" s="450"/>
      <c r="AF25" s="24"/>
      <c r="AG25" s="191"/>
      <c r="AH25" s="24"/>
      <c r="AI25" s="450"/>
      <c r="AJ25" s="24"/>
      <c r="AK25" s="191"/>
      <c r="AL25" s="24"/>
      <c r="AM25" s="452"/>
      <c r="AN25" s="453"/>
      <c r="AO25" s="454"/>
      <c r="AP25" s="6"/>
      <c r="AQ25" s="10"/>
      <c r="AR25" s="10"/>
      <c r="AS25" s="128"/>
      <c r="AT25" s="20" t="str">
        <f>IF($AL25&gt;=25%,"RESULTADOS FAVORABLES",IF($AL25&lt;=22.5%,"ACCIÓN CORRECTIVA",IF($AL25&lt;=23%,"OPORTUNIDAD DE MEJORA")))</f>
        <v>ACCIÓN CORRECTIVA</v>
      </c>
    </row>
    <row r="26" spans="1:46" ht="105" x14ac:dyDescent="0.2">
      <c r="A26" s="1" t="s">
        <v>81</v>
      </c>
      <c r="B26" s="297"/>
      <c r="C26" s="33" t="s">
        <v>93</v>
      </c>
      <c r="D26" s="45"/>
      <c r="E26" s="5" t="s">
        <v>107</v>
      </c>
      <c r="F26" s="195" t="s">
        <v>120</v>
      </c>
      <c r="G26" s="5" t="s">
        <v>121</v>
      </c>
      <c r="H26" s="5" t="s">
        <v>122</v>
      </c>
      <c r="I26" s="306" t="s">
        <v>51</v>
      </c>
      <c r="J26" s="307" t="s">
        <v>111</v>
      </c>
      <c r="K26" s="308"/>
      <c r="L26" s="306" t="s">
        <v>112</v>
      </c>
      <c r="M26" s="293" t="s">
        <v>99</v>
      </c>
      <c r="N26" s="306" t="s">
        <v>48</v>
      </c>
      <c r="O26" s="306" t="s">
        <v>48</v>
      </c>
      <c r="P26" s="24" t="s">
        <v>580</v>
      </c>
      <c r="Q26" s="24" t="s">
        <v>581</v>
      </c>
      <c r="R26" s="24">
        <v>0.30656934306569344</v>
      </c>
      <c r="S26" s="24" t="s">
        <v>575</v>
      </c>
      <c r="T26" s="24" t="s">
        <v>580</v>
      </c>
      <c r="U26" s="24" t="s">
        <v>581</v>
      </c>
      <c r="V26" s="24"/>
      <c r="W26" s="191"/>
      <c r="X26" s="24"/>
      <c r="Y26" s="191"/>
      <c r="Z26" s="24"/>
      <c r="AA26" s="191"/>
      <c r="AB26" s="24"/>
      <c r="AC26" s="191"/>
      <c r="AD26" s="24"/>
      <c r="AE26" s="450"/>
      <c r="AF26" s="24"/>
      <c r="AG26" s="191"/>
      <c r="AH26" s="24"/>
      <c r="AI26" s="450"/>
      <c r="AJ26" s="24"/>
      <c r="AK26" s="191"/>
      <c r="AL26" s="24"/>
      <c r="AM26" s="452"/>
      <c r="AN26" s="453"/>
      <c r="AO26" s="454"/>
      <c r="AP26" s="6"/>
      <c r="AQ26" s="10"/>
      <c r="AR26" s="10"/>
      <c r="AS26" s="128"/>
      <c r="AT26" s="20" t="str">
        <f>IF($AL26&gt;=25%,"RESULTADOS FAVORABLES",IF($AL26&lt;=22.5%,"ACCIÓN CORRECTIVA",IF($AL26&lt;=23%,"OPORTUNIDAD DE MEJORA")))</f>
        <v>ACCIÓN CORRECTIVA</v>
      </c>
    </row>
    <row r="27" spans="1:46" ht="180" x14ac:dyDescent="0.2">
      <c r="A27" s="1" t="s">
        <v>81</v>
      </c>
      <c r="B27" s="297"/>
      <c r="C27" s="33" t="s">
        <v>93</v>
      </c>
      <c r="D27" s="45"/>
      <c r="E27" s="5" t="s">
        <v>107</v>
      </c>
      <c r="F27" s="195" t="s">
        <v>123</v>
      </c>
      <c r="G27" s="5" t="s">
        <v>124</v>
      </c>
      <c r="H27" s="5" t="s">
        <v>125</v>
      </c>
      <c r="I27" s="306" t="s">
        <v>51</v>
      </c>
      <c r="J27" s="307" t="s">
        <v>126</v>
      </c>
      <c r="K27" s="308"/>
      <c r="L27" s="306" t="s">
        <v>127</v>
      </c>
      <c r="M27" s="293" t="s">
        <v>99</v>
      </c>
      <c r="N27" s="306" t="s">
        <v>48</v>
      </c>
      <c r="O27" s="306" t="s">
        <v>48</v>
      </c>
      <c r="P27" s="24">
        <v>0.21301498127340823</v>
      </c>
      <c r="Q27" s="24" t="s">
        <v>576</v>
      </c>
      <c r="R27" s="24">
        <v>0.31196672354948807</v>
      </c>
      <c r="S27" s="191" t="s">
        <v>577</v>
      </c>
      <c r="T27" s="24">
        <f>116439/27936</f>
        <v>4.1680627147766325</v>
      </c>
      <c r="U27" s="24" t="s">
        <v>578</v>
      </c>
      <c r="V27" s="24"/>
      <c r="W27" s="191"/>
      <c r="X27" s="24"/>
      <c r="Y27" s="191"/>
      <c r="Z27" s="24"/>
      <c r="AA27" s="191"/>
      <c r="AB27" s="21"/>
      <c r="AC27" s="191"/>
      <c r="AD27" s="21"/>
      <c r="AE27" s="450"/>
      <c r="AF27" s="21"/>
      <c r="AG27" s="191"/>
      <c r="AH27" s="21"/>
      <c r="AI27" s="450"/>
      <c r="AJ27" s="21"/>
      <c r="AK27" s="191"/>
      <c r="AL27" s="21"/>
      <c r="AM27" s="191"/>
      <c r="AN27" s="453"/>
      <c r="AO27" s="454"/>
      <c r="AP27" s="6"/>
      <c r="AQ27" s="10"/>
      <c r="AR27" s="10"/>
      <c r="AS27" s="128"/>
      <c r="AT27" s="20" t="str">
        <f>IF($AL27&gt;=25%,"RESULTADOS FAVORABLES",IF($AL27&lt;=22.5%,"ACCIÓN CORRECTIVA",IF($AL27&lt;=23%,"OPORTUNIDAD DE MEJORA")))</f>
        <v>ACCIÓN CORRECTIVA</v>
      </c>
    </row>
    <row r="28" spans="1:46" ht="270" x14ac:dyDescent="0.2">
      <c r="A28" s="46" t="s">
        <v>128</v>
      </c>
      <c r="B28" s="229" t="s">
        <v>129</v>
      </c>
      <c r="C28" s="47" t="s">
        <v>130</v>
      </c>
      <c r="D28" s="4" t="s">
        <v>131</v>
      </c>
      <c r="E28" s="4" t="s">
        <v>132</v>
      </c>
      <c r="F28" s="184" t="s">
        <v>133</v>
      </c>
      <c r="G28" s="18" t="s">
        <v>514</v>
      </c>
      <c r="H28" s="18" t="s">
        <v>134</v>
      </c>
      <c r="I28" s="6" t="s">
        <v>44</v>
      </c>
      <c r="J28" s="321" t="s">
        <v>135</v>
      </c>
      <c r="K28" s="322"/>
      <c r="L28" s="10" t="s">
        <v>46</v>
      </c>
      <c r="M28" s="48" t="s">
        <v>136</v>
      </c>
      <c r="N28" s="293" t="s">
        <v>48</v>
      </c>
      <c r="O28" s="293" t="s">
        <v>48</v>
      </c>
      <c r="P28" s="36">
        <f>231981910/2378130388</f>
        <v>9.7548019726158092E-2</v>
      </c>
      <c r="Q28" s="191" t="s">
        <v>753</v>
      </c>
      <c r="R28" s="8">
        <f>310150594/2057745412</f>
        <v>0.15072350164958112</v>
      </c>
      <c r="S28" s="24" t="s">
        <v>754</v>
      </c>
      <c r="T28" s="8">
        <f>376996225/4015067974</f>
        <v>9.389535306532272E-2</v>
      </c>
      <c r="U28" s="24" t="s">
        <v>755</v>
      </c>
      <c r="V28" s="25"/>
      <c r="W28" s="5"/>
      <c r="X28" s="25"/>
      <c r="Y28" s="302"/>
      <c r="Z28" s="25"/>
      <c r="AA28" s="302"/>
      <c r="AB28" s="25"/>
      <c r="AC28" s="302"/>
      <c r="AD28" s="25"/>
      <c r="AE28" s="197"/>
      <c r="AF28" s="25"/>
      <c r="AG28" s="302"/>
      <c r="AH28" s="49"/>
      <c r="AI28" s="450"/>
      <c r="AJ28" s="49"/>
      <c r="AK28" s="191"/>
      <c r="AL28" s="49"/>
      <c r="AM28" s="191"/>
      <c r="AN28" s="6" t="s">
        <v>673</v>
      </c>
      <c r="AO28" s="6" t="s">
        <v>730</v>
      </c>
      <c r="AP28" s="6"/>
      <c r="AQ28" s="10"/>
      <c r="AR28" s="10"/>
      <c r="AS28" s="222"/>
      <c r="AT28" s="20" t="str">
        <f>+[1]Hoja1!$AS$16</f>
        <v>RESULTADOS FAVORABLES</v>
      </c>
    </row>
    <row r="29" spans="1:46" ht="105" x14ac:dyDescent="0.2">
      <c r="A29" s="455" t="s">
        <v>128</v>
      </c>
      <c r="B29" s="50"/>
      <c r="C29" s="456" t="s">
        <v>130</v>
      </c>
      <c r="D29" s="347"/>
      <c r="E29" s="50" t="s">
        <v>132</v>
      </c>
      <c r="F29" s="184" t="s">
        <v>138</v>
      </c>
      <c r="G29" s="60" t="s">
        <v>510</v>
      </c>
      <c r="H29" s="60" t="s">
        <v>139</v>
      </c>
      <c r="I29" s="6" t="s">
        <v>44</v>
      </c>
      <c r="J29" s="325" t="s">
        <v>140</v>
      </c>
      <c r="K29" s="326"/>
      <c r="L29" s="10" t="s">
        <v>46</v>
      </c>
      <c r="M29" s="48" t="s">
        <v>136</v>
      </c>
      <c r="N29" s="6" t="s">
        <v>137</v>
      </c>
      <c r="O29" s="6" t="s">
        <v>137</v>
      </c>
      <c r="P29" s="239"/>
      <c r="Q29" s="60"/>
      <c r="R29" s="239"/>
      <c r="S29" s="60"/>
      <c r="T29" s="240">
        <f>61416041460/191454495923</f>
        <v>0.32078662433030858</v>
      </c>
      <c r="U29" s="18" t="s">
        <v>582</v>
      </c>
      <c r="V29" s="241"/>
      <c r="W29" s="241"/>
      <c r="X29" s="241"/>
      <c r="Y29" s="241"/>
      <c r="Z29" s="240"/>
      <c r="AA29" s="18"/>
      <c r="AB29" s="241"/>
      <c r="AC29" s="241"/>
      <c r="AD29" s="241"/>
      <c r="AE29" s="457"/>
      <c r="AF29" s="249"/>
      <c r="AG29" s="18"/>
      <c r="AH29" s="241"/>
      <c r="AI29" s="457"/>
      <c r="AJ29" s="241"/>
      <c r="AK29" s="241"/>
      <c r="AL29" s="25"/>
      <c r="AM29" s="458"/>
      <c r="AN29" s="51">
        <v>1.0832143925031423</v>
      </c>
      <c r="AO29" s="19" t="s">
        <v>601</v>
      </c>
      <c r="AP29" s="6"/>
      <c r="AQ29" s="10"/>
      <c r="AR29" s="10"/>
      <c r="AS29" s="18"/>
      <c r="AT29" s="20" t="str">
        <f>IF($AL29&gt;=20.25%,"RESULTADOS FAVORABLES",IF($AL29&lt;18.25%,"ACCIÓN CORRECTIVA",IF($AL29&lt;19.25%,"OPORTUNIDAD DE MEJORA")))</f>
        <v>ACCIÓN CORRECTIVA</v>
      </c>
    </row>
    <row r="30" spans="1:46" ht="75" x14ac:dyDescent="0.2">
      <c r="A30" s="455" t="s">
        <v>128</v>
      </c>
      <c r="B30" s="50"/>
      <c r="C30" s="456" t="s">
        <v>130</v>
      </c>
      <c r="D30" s="349"/>
      <c r="E30" s="50" t="s">
        <v>132</v>
      </c>
      <c r="F30" s="184" t="s">
        <v>142</v>
      </c>
      <c r="G30" s="60" t="s">
        <v>511</v>
      </c>
      <c r="H30" s="60" t="s">
        <v>143</v>
      </c>
      <c r="I30" s="48" t="s">
        <v>44</v>
      </c>
      <c r="J30" s="325" t="s">
        <v>144</v>
      </c>
      <c r="K30" s="326"/>
      <c r="L30" s="10" t="s">
        <v>46</v>
      </c>
      <c r="M30" s="48" t="s">
        <v>136</v>
      </c>
      <c r="N30" s="6" t="s">
        <v>137</v>
      </c>
      <c r="O30" s="6" t="s">
        <v>137</v>
      </c>
      <c r="P30" s="241"/>
      <c r="Q30" s="60"/>
      <c r="R30" s="241"/>
      <c r="S30" s="60"/>
      <c r="T30" s="240">
        <f>36660399094/191454495923</f>
        <v>0.19148361555710991</v>
      </c>
      <c r="U30" s="18" t="s">
        <v>583</v>
      </c>
      <c r="V30" s="459"/>
      <c r="W30" s="241"/>
      <c r="X30" s="241"/>
      <c r="Y30" s="241"/>
      <c r="Z30" s="460"/>
      <c r="AA30" s="18"/>
      <c r="AB30" s="241"/>
      <c r="AC30" s="241"/>
      <c r="AD30" s="241"/>
      <c r="AE30" s="457"/>
      <c r="AF30" s="249"/>
      <c r="AG30" s="18"/>
      <c r="AH30" s="241"/>
      <c r="AI30" s="457"/>
      <c r="AJ30" s="241"/>
      <c r="AK30" s="241"/>
      <c r="AL30" s="25"/>
      <c r="AM30" s="458"/>
      <c r="AN30" s="51">
        <v>0.8097647835242846</v>
      </c>
      <c r="AO30" s="19" t="s">
        <v>602</v>
      </c>
      <c r="AP30" s="6"/>
      <c r="AQ30" s="10"/>
      <c r="AR30" s="10"/>
      <c r="AS30" s="18"/>
      <c r="AT30" s="20" t="str">
        <f>IF($AL30&gt;=20.25%,"RESULTADOS FAVORABLES",IF($AL30&lt;18.25%,"ACCIÓN CORRECTIVA",IF($AL30&lt;19.25%,"OPORTUNIDAD DE MEJORA")))</f>
        <v>ACCIÓN CORRECTIVA</v>
      </c>
    </row>
    <row r="31" spans="1:46" ht="60" x14ac:dyDescent="0.2">
      <c r="A31" s="46" t="s">
        <v>128</v>
      </c>
      <c r="B31" s="4"/>
      <c r="C31" s="47" t="s">
        <v>130</v>
      </c>
      <c r="D31" s="4" t="s">
        <v>145</v>
      </c>
      <c r="E31" s="4" t="s">
        <v>146</v>
      </c>
      <c r="F31" s="184" t="s">
        <v>147</v>
      </c>
      <c r="G31" s="18" t="s">
        <v>148</v>
      </c>
      <c r="H31" s="18" t="s">
        <v>149</v>
      </c>
      <c r="I31" s="52" t="s">
        <v>150</v>
      </c>
      <c r="J31" s="321" t="s">
        <v>151</v>
      </c>
      <c r="K31" s="322"/>
      <c r="L31" s="10" t="s">
        <v>152</v>
      </c>
      <c r="M31" s="48" t="s">
        <v>136</v>
      </c>
      <c r="N31" s="6" t="s">
        <v>48</v>
      </c>
      <c r="O31" s="6" t="s">
        <v>137</v>
      </c>
      <c r="P31" s="242">
        <f>108749113/15039374</f>
        <v>7.2309600785245447</v>
      </c>
      <c r="Q31" s="243" t="s">
        <v>584</v>
      </c>
      <c r="R31" s="242">
        <f>113828408/17569983</f>
        <v>6.4785724607701667</v>
      </c>
      <c r="S31" s="243" t="s">
        <v>585</v>
      </c>
      <c r="T31" s="244">
        <f>105493911/11568008</f>
        <v>9.119453496228564</v>
      </c>
      <c r="U31" s="243" t="s">
        <v>586</v>
      </c>
      <c r="V31" s="461"/>
      <c r="W31" s="60"/>
      <c r="X31" s="461"/>
      <c r="Y31" s="60"/>
      <c r="Z31" s="462"/>
      <c r="AA31" s="57"/>
      <c r="AB31" s="463"/>
      <c r="AC31" s="57"/>
      <c r="AD31" s="463"/>
      <c r="AE31" s="207"/>
      <c r="AF31" s="464"/>
      <c r="AG31" s="57"/>
      <c r="AH31" s="465"/>
      <c r="AI31" s="207"/>
      <c r="AJ31" s="465"/>
      <c r="AK31" s="57"/>
      <c r="AL31" s="465"/>
      <c r="AM31" s="57"/>
      <c r="AN31" s="53">
        <v>4.5</v>
      </c>
      <c r="AO31" s="6" t="s">
        <v>603</v>
      </c>
      <c r="AP31" s="6"/>
      <c r="AQ31" s="10"/>
      <c r="AR31" s="10"/>
      <c r="AS31" s="18"/>
      <c r="AT31" s="20" t="str">
        <f>IF($AL31&gt;2,"RESULTADOS FAVORABLES",IF($AL31&lt;1.8%,"ACCIÓN CORRECTIVA",IF($AL31&lt;1.97,"OPORTUNIDAD DE MEJORA")))</f>
        <v>ACCIÓN CORRECTIVA</v>
      </c>
    </row>
    <row r="32" spans="1:46" ht="120" x14ac:dyDescent="0.2">
      <c r="A32" s="46" t="s">
        <v>128</v>
      </c>
      <c r="B32" s="4"/>
      <c r="C32" s="47" t="s">
        <v>130</v>
      </c>
      <c r="D32" s="54" t="s">
        <v>153</v>
      </c>
      <c r="E32" s="4" t="s">
        <v>146</v>
      </c>
      <c r="F32" s="184" t="s">
        <v>154</v>
      </c>
      <c r="G32" s="18" t="s">
        <v>155</v>
      </c>
      <c r="H32" s="18" t="s">
        <v>156</v>
      </c>
      <c r="I32" s="52" t="s">
        <v>150</v>
      </c>
      <c r="J32" s="321" t="s">
        <v>157</v>
      </c>
      <c r="K32" s="322"/>
      <c r="L32" s="10" t="s">
        <v>152</v>
      </c>
      <c r="M32" s="48" t="s">
        <v>136</v>
      </c>
      <c r="N32" s="6" t="s">
        <v>48</v>
      </c>
      <c r="O32" s="6" t="s">
        <v>137</v>
      </c>
      <c r="P32" s="242">
        <f>(108749113-24957505)/15039374</f>
        <v>5.5714824300532726</v>
      </c>
      <c r="Q32" s="243" t="s">
        <v>587</v>
      </c>
      <c r="R32" s="242">
        <f>(113828408-25790809)/17569983</f>
        <v>5.0106820820486853</v>
      </c>
      <c r="S32" s="243" t="s">
        <v>588</v>
      </c>
      <c r="T32" s="244">
        <f>+(105493911-28132478)/11568008</f>
        <v>6.6875328059939099</v>
      </c>
      <c r="U32" s="243" t="s">
        <v>589</v>
      </c>
      <c r="V32" s="466"/>
      <c r="W32" s="60"/>
      <c r="X32" s="466"/>
      <c r="Y32" s="60"/>
      <c r="Z32" s="462"/>
      <c r="AA32" s="57"/>
      <c r="AB32" s="463"/>
      <c r="AC32" s="57"/>
      <c r="AD32" s="463"/>
      <c r="AE32" s="207"/>
      <c r="AF32" s="464"/>
      <c r="AG32" s="57"/>
      <c r="AH32" s="465"/>
      <c r="AI32" s="207"/>
      <c r="AJ32" s="465"/>
      <c r="AK32" s="57"/>
      <c r="AL32" s="465"/>
      <c r="AM32" s="57"/>
      <c r="AN32" s="53">
        <v>3.4</v>
      </c>
      <c r="AO32" s="6" t="s">
        <v>604</v>
      </c>
      <c r="AP32" s="6"/>
      <c r="AQ32" s="10"/>
      <c r="AR32" s="10"/>
      <c r="AS32" s="18"/>
      <c r="AT32" s="20" t="str">
        <f>IF($AL32&gt;=1.5,"RESULTADOS FAVORABLES",IF($AL32&lt;1.3,"ACCIÓN CORRECTIVA",IF($AL32&gt;1.35,"OPORTUNIDAD DE MEJORA")))</f>
        <v>ACCIÓN CORRECTIVA</v>
      </c>
    </row>
    <row r="33" spans="1:46" ht="180" x14ac:dyDescent="0.2">
      <c r="A33" s="46" t="s">
        <v>128</v>
      </c>
      <c r="B33" s="4"/>
      <c r="C33" s="47" t="s">
        <v>130</v>
      </c>
      <c r="D33" s="54"/>
      <c r="E33" s="4" t="s">
        <v>146</v>
      </c>
      <c r="F33" s="184" t="s">
        <v>158</v>
      </c>
      <c r="G33" s="18" t="s">
        <v>159</v>
      </c>
      <c r="H33" s="18" t="s">
        <v>160</v>
      </c>
      <c r="I33" s="48" t="s">
        <v>159</v>
      </c>
      <c r="J33" s="321" t="s">
        <v>161</v>
      </c>
      <c r="K33" s="322"/>
      <c r="L33" s="10" t="s">
        <v>162</v>
      </c>
      <c r="M33" s="10" t="s">
        <v>136</v>
      </c>
      <c r="N33" s="6" t="s">
        <v>48</v>
      </c>
      <c r="O33" s="6" t="s">
        <v>137</v>
      </c>
      <c r="P33" s="245">
        <f>239351004/457648248</f>
        <v>0.52300212017855252</v>
      </c>
      <c r="Q33" s="243" t="s">
        <v>590</v>
      </c>
      <c r="R33" s="245">
        <f>240585978/460677527</f>
        <v>0.52224379072001048</v>
      </c>
      <c r="S33" s="243" t="s">
        <v>591</v>
      </c>
      <c r="T33" s="245">
        <f>233438823/451306606</f>
        <v>0.51725106589731595</v>
      </c>
      <c r="U33" s="243" t="s">
        <v>592</v>
      </c>
      <c r="V33" s="467"/>
      <c r="W33" s="18"/>
      <c r="X33" s="467"/>
      <c r="Y33" s="18"/>
      <c r="Z33" s="468"/>
      <c r="AA33" s="57"/>
      <c r="AB33" s="469"/>
      <c r="AC33" s="57"/>
      <c r="AD33" s="470"/>
      <c r="AE33" s="207"/>
      <c r="AF33" s="78"/>
      <c r="AG33" s="57"/>
      <c r="AH33" s="445"/>
      <c r="AI33" s="207"/>
      <c r="AJ33" s="445"/>
      <c r="AK33" s="57"/>
      <c r="AL33" s="445"/>
      <c r="AM33" s="57"/>
      <c r="AN33" s="51">
        <v>0.49399999999999999</v>
      </c>
      <c r="AO33" s="6" t="s">
        <v>605</v>
      </c>
      <c r="AP33" s="6"/>
      <c r="AQ33" s="10"/>
      <c r="AR33" s="10"/>
      <c r="AS33" s="18"/>
      <c r="AT33" s="20" t="str">
        <f>IF($AL33&lt;=70%,"RESULTADOS FAVORABLES",IF($AL33&gt;=80%,"ACCIÓN CORRECTIVA",IF($AL33&gt;=75%,"OPORTUNIDAD DE MEJORA")))</f>
        <v>RESULTADOS FAVORABLES</v>
      </c>
    </row>
    <row r="34" spans="1:46" ht="120" x14ac:dyDescent="0.2">
      <c r="A34" s="46" t="s">
        <v>128</v>
      </c>
      <c r="B34" s="4"/>
      <c r="C34" s="47" t="s">
        <v>130</v>
      </c>
      <c r="D34" s="54"/>
      <c r="E34" s="4" t="s">
        <v>163</v>
      </c>
      <c r="F34" s="184" t="s">
        <v>164</v>
      </c>
      <c r="G34" s="18" t="s">
        <v>165</v>
      </c>
      <c r="H34" s="18" t="s">
        <v>166</v>
      </c>
      <c r="I34" s="48" t="s">
        <v>44</v>
      </c>
      <c r="J34" s="321" t="s">
        <v>167</v>
      </c>
      <c r="K34" s="322"/>
      <c r="L34" s="10" t="s">
        <v>162</v>
      </c>
      <c r="M34" s="48" t="s">
        <v>136</v>
      </c>
      <c r="N34" s="6" t="s">
        <v>137</v>
      </c>
      <c r="O34" s="6" t="s">
        <v>137</v>
      </c>
      <c r="P34" s="244">
        <f>722265/4579969</f>
        <v>0.15770084906688234</v>
      </c>
      <c r="Q34" s="246" t="s">
        <v>593</v>
      </c>
      <c r="R34" s="244">
        <f>1995827/9807194</f>
        <v>0.2035064259970793</v>
      </c>
      <c r="S34" s="246" t="s">
        <v>594</v>
      </c>
      <c r="T34" s="244">
        <f>1711281/10592315</f>
        <v>0.16155873385563024</v>
      </c>
      <c r="U34" s="246" t="s">
        <v>593</v>
      </c>
      <c r="V34" s="241"/>
      <c r="W34" s="241"/>
      <c r="X34" s="241"/>
      <c r="Y34" s="241"/>
      <c r="Z34" s="469"/>
      <c r="AA34" s="185"/>
      <c r="AB34" s="241"/>
      <c r="AC34" s="241"/>
      <c r="AD34" s="241"/>
      <c r="AE34" s="457"/>
      <c r="AF34" s="78"/>
      <c r="AG34" s="18"/>
      <c r="AH34" s="241"/>
      <c r="AI34" s="457"/>
      <c r="AJ34" s="241"/>
      <c r="AK34" s="241"/>
      <c r="AL34" s="465"/>
      <c r="AM34" s="57"/>
      <c r="AN34" s="51">
        <v>0.47599999999999998</v>
      </c>
      <c r="AO34" s="6" t="s">
        <v>606</v>
      </c>
      <c r="AP34" s="6"/>
      <c r="AQ34" s="10"/>
      <c r="AR34" s="10"/>
      <c r="AS34" s="18"/>
      <c r="AT34" s="20" t="str">
        <f>IF($AL34&gt;=25%,"RESULTADOS FAVORABLES",IF($AL34&lt;=20%,"ACCIÓN CORRECTIVA",IF($AL34&lt;=23%,"OPORTUNIDAD DE MEJORA")))</f>
        <v>ACCIÓN CORRECTIVA</v>
      </c>
    </row>
    <row r="35" spans="1:46" ht="105" x14ac:dyDescent="0.2">
      <c r="A35" s="46" t="s">
        <v>128</v>
      </c>
      <c r="B35" s="4"/>
      <c r="C35" s="47" t="s">
        <v>130</v>
      </c>
      <c r="D35" s="54"/>
      <c r="E35" s="4" t="s">
        <v>163</v>
      </c>
      <c r="F35" s="184" t="s">
        <v>168</v>
      </c>
      <c r="G35" s="18" t="s">
        <v>169</v>
      </c>
      <c r="H35" s="18" t="s">
        <v>170</v>
      </c>
      <c r="I35" s="48" t="s">
        <v>44</v>
      </c>
      <c r="J35" s="321" t="s">
        <v>171</v>
      </c>
      <c r="K35" s="322"/>
      <c r="L35" s="10" t="s">
        <v>162</v>
      </c>
      <c r="M35" s="48" t="s">
        <v>136</v>
      </c>
      <c r="N35" s="6" t="s">
        <v>137</v>
      </c>
      <c r="O35" s="6" t="s">
        <v>137</v>
      </c>
      <c r="P35" s="244">
        <f>2332164/4579969</f>
        <v>0.50920956015204466</v>
      </c>
      <c r="Q35" s="247" t="s">
        <v>595</v>
      </c>
      <c r="R35" s="244">
        <f>4126469/9807194</f>
        <v>0.4207593935635412</v>
      </c>
      <c r="S35" s="247" t="s">
        <v>596</v>
      </c>
      <c r="T35" s="244">
        <f>1280692/10592315</f>
        <v>0.12090765805208777</v>
      </c>
      <c r="U35" s="247" t="s">
        <v>597</v>
      </c>
      <c r="V35" s="241"/>
      <c r="W35" s="241"/>
      <c r="X35" s="241"/>
      <c r="Y35" s="241"/>
      <c r="Z35" s="469"/>
      <c r="AA35" s="185"/>
      <c r="AB35" s="241"/>
      <c r="AC35" s="241"/>
      <c r="AD35" s="241"/>
      <c r="AE35" s="457"/>
      <c r="AF35" s="78"/>
      <c r="AG35" s="18"/>
      <c r="AH35" s="241"/>
      <c r="AI35" s="457"/>
      <c r="AJ35" s="241"/>
      <c r="AK35" s="241"/>
      <c r="AL35" s="465"/>
      <c r="AM35" s="185"/>
      <c r="AN35" s="51">
        <v>0.56000000000000005</v>
      </c>
      <c r="AO35" s="6" t="s">
        <v>606</v>
      </c>
      <c r="AP35" s="6"/>
      <c r="AQ35" s="10"/>
      <c r="AR35" s="10"/>
      <c r="AS35" s="18"/>
      <c r="AT35" s="20" t="str">
        <f>IF($AL35&gt;=25%,"RESULTADOS FAVORABLES",IF($AL35&lt;=20%,"ACCIÓN CORRECTIVA",IF($AL35&lt;=23%,"OPORTUNIDAD DE MEJORA")))</f>
        <v>ACCIÓN CORRECTIVA</v>
      </c>
    </row>
    <row r="36" spans="1:46" ht="90" x14ac:dyDescent="0.2">
      <c r="A36" s="46" t="s">
        <v>128</v>
      </c>
      <c r="B36" s="4"/>
      <c r="C36" s="47" t="s">
        <v>130</v>
      </c>
      <c r="D36" s="55"/>
      <c r="E36" s="4" t="s">
        <v>163</v>
      </c>
      <c r="F36" s="184" t="s">
        <v>172</v>
      </c>
      <c r="G36" s="18" t="s">
        <v>173</v>
      </c>
      <c r="H36" s="18" t="s">
        <v>174</v>
      </c>
      <c r="I36" s="48" t="s">
        <v>44</v>
      </c>
      <c r="J36" s="321" t="s">
        <v>175</v>
      </c>
      <c r="K36" s="322"/>
      <c r="L36" s="10" t="s">
        <v>162</v>
      </c>
      <c r="M36" s="48" t="s">
        <v>136</v>
      </c>
      <c r="N36" s="6" t="s">
        <v>137</v>
      </c>
      <c r="O36" s="6" t="s">
        <v>137</v>
      </c>
      <c r="P36" s="244">
        <f>2332164/218297244</f>
        <v>1.0683433089975245E-2</v>
      </c>
      <c r="Q36" s="248" t="s">
        <v>598</v>
      </c>
      <c r="R36" s="244">
        <f>4126469/220091549</f>
        <v>1.8748875269172648E-2</v>
      </c>
      <c r="S36" s="248" t="s">
        <v>599</v>
      </c>
      <c r="T36" s="244">
        <f>1280692/217867783</f>
        <v>5.8782991333785227E-3</v>
      </c>
      <c r="U36" s="248" t="s">
        <v>600</v>
      </c>
      <c r="V36" s="241"/>
      <c r="W36" s="241"/>
      <c r="X36" s="241"/>
      <c r="Y36" s="241"/>
      <c r="Z36" s="469"/>
      <c r="AA36" s="18"/>
      <c r="AB36" s="241"/>
      <c r="AC36" s="241"/>
      <c r="AD36" s="241"/>
      <c r="AE36" s="457"/>
      <c r="AF36" s="249"/>
      <c r="AG36" s="18"/>
      <c r="AH36" s="241"/>
      <c r="AI36" s="457"/>
      <c r="AJ36" s="241"/>
      <c r="AK36" s="241"/>
      <c r="AL36" s="465"/>
      <c r="AM36" s="18"/>
      <c r="AN36" s="51">
        <v>0.19391179429415836</v>
      </c>
      <c r="AO36" s="6" t="s">
        <v>607</v>
      </c>
      <c r="AP36" s="6"/>
      <c r="AQ36" s="10"/>
      <c r="AR36" s="10"/>
      <c r="AS36" s="18"/>
      <c r="AT36" s="20" t="str">
        <f>IF($AL36&gt;=15,"RESULTADOS FAVORABLES",IF($AL36&lt;13.5,"ACCIÓN CORRECTIVA",IF($AL36&lt;13,"OPORTUNIDAD DE MEJORA")))</f>
        <v>ACCIÓN CORRECTIVA</v>
      </c>
    </row>
    <row r="37" spans="1:46" ht="270" x14ac:dyDescent="0.2">
      <c r="A37" s="46" t="s">
        <v>128</v>
      </c>
      <c r="B37" s="382" t="s">
        <v>176</v>
      </c>
      <c r="C37" s="56" t="s">
        <v>177</v>
      </c>
      <c r="D37" s="54" t="s">
        <v>178</v>
      </c>
      <c r="E37" s="4" t="s">
        <v>179</v>
      </c>
      <c r="F37" s="220" t="s">
        <v>180</v>
      </c>
      <c r="G37" s="57" t="s">
        <v>181</v>
      </c>
      <c r="H37" s="57" t="s">
        <v>182</v>
      </c>
      <c r="I37" s="48" t="s">
        <v>44</v>
      </c>
      <c r="J37" s="325" t="s">
        <v>183</v>
      </c>
      <c r="K37" s="326"/>
      <c r="L37" s="10" t="s">
        <v>162</v>
      </c>
      <c r="M37" s="306" t="s">
        <v>184</v>
      </c>
      <c r="N37" s="6" t="s">
        <v>185</v>
      </c>
      <c r="O37" s="6" t="s">
        <v>185</v>
      </c>
      <c r="P37" s="274">
        <f>(65/6)-1</f>
        <v>9.8333333333333339</v>
      </c>
      <c r="Q37" s="275" t="s">
        <v>608</v>
      </c>
      <c r="R37" s="274">
        <f>+(17/35)-1</f>
        <v>-0.51428571428571423</v>
      </c>
      <c r="S37" s="275" t="s">
        <v>609</v>
      </c>
      <c r="T37" s="274">
        <v>0.09</v>
      </c>
      <c r="U37" s="275" t="s">
        <v>618</v>
      </c>
      <c r="V37" s="274"/>
      <c r="W37" s="275"/>
      <c r="X37" s="274"/>
      <c r="Y37" s="275"/>
      <c r="Z37" s="274"/>
      <c r="AA37" s="275"/>
      <c r="AB37" s="274"/>
      <c r="AC37" s="275"/>
      <c r="AD37" s="274"/>
      <c r="AE37" s="275"/>
      <c r="AF37" s="274"/>
      <c r="AG37" s="274"/>
      <c r="AH37" s="274"/>
      <c r="AI37" s="275"/>
      <c r="AJ37" s="274"/>
      <c r="AK37" s="274"/>
      <c r="AL37" s="274"/>
      <c r="AM37" s="275"/>
      <c r="AN37" s="10"/>
      <c r="AO37" s="23"/>
      <c r="AP37" s="6"/>
      <c r="AQ37" s="10"/>
      <c r="AR37" s="10"/>
      <c r="AS37" s="222"/>
      <c r="AT37" s="20" t="e">
        <f>IF(AVERAGE(AH37,AJ37,AL37)&lt;=10%,"RESULTADOS FAVORABLES",IF(AVERAGE(AH37,AJ37,AL37)&lt;8%,"ACCIÓN CORRECTIVA",IF(AVERAGE(AH37,AJ37,AL37)&lt;6%,"OPORTUNIDAD DE MEJORA")))</f>
        <v>#DIV/0!</v>
      </c>
    </row>
    <row r="38" spans="1:46" ht="135" x14ac:dyDescent="0.2">
      <c r="A38" s="46" t="s">
        <v>128</v>
      </c>
      <c r="B38" s="383"/>
      <c r="C38" s="56" t="s">
        <v>177</v>
      </c>
      <c r="D38" s="54"/>
      <c r="E38" s="4" t="s">
        <v>179</v>
      </c>
      <c r="F38" s="220" t="s">
        <v>186</v>
      </c>
      <c r="G38" s="57" t="s">
        <v>187</v>
      </c>
      <c r="H38" s="57" t="s">
        <v>188</v>
      </c>
      <c r="I38" s="48" t="s">
        <v>51</v>
      </c>
      <c r="J38" s="325" t="s">
        <v>189</v>
      </c>
      <c r="K38" s="326"/>
      <c r="L38" s="10" t="s">
        <v>162</v>
      </c>
      <c r="M38" s="306" t="s">
        <v>184</v>
      </c>
      <c r="N38" s="6" t="s">
        <v>48</v>
      </c>
      <c r="O38" s="6" t="s">
        <v>48</v>
      </c>
      <c r="P38" s="276">
        <f>((16+29+17)/(16+29+17))*100</f>
        <v>100</v>
      </c>
      <c r="Q38" s="275" t="s">
        <v>610</v>
      </c>
      <c r="R38" s="276">
        <f>((19+40+14)/(19+40+14))*100</f>
        <v>100</v>
      </c>
      <c r="S38" s="275" t="s">
        <v>611</v>
      </c>
      <c r="T38" s="276">
        <f>((10+25+10)/(10+25+10))*100</f>
        <v>100</v>
      </c>
      <c r="U38" s="275" t="s">
        <v>619</v>
      </c>
      <c r="V38" s="276"/>
      <c r="W38" s="275"/>
      <c r="X38" s="276"/>
      <c r="Y38" s="275"/>
      <c r="Z38" s="276"/>
      <c r="AA38" s="275"/>
      <c r="AB38" s="276"/>
      <c r="AC38" s="275"/>
      <c r="AD38" s="276"/>
      <c r="AE38" s="275"/>
      <c r="AF38" s="276"/>
      <c r="AG38" s="275"/>
      <c r="AH38" s="276"/>
      <c r="AI38" s="275"/>
      <c r="AJ38" s="276"/>
      <c r="AK38" s="275"/>
      <c r="AL38" s="276"/>
      <c r="AM38" s="275"/>
      <c r="AN38" s="6"/>
      <c r="AO38" s="6"/>
      <c r="AP38" s="6"/>
      <c r="AQ38" s="10"/>
      <c r="AR38" s="10"/>
      <c r="AS38" s="222"/>
      <c r="AT38" s="20" t="str">
        <f>IF($AL38&gt;=25%,"RESULTADOS FAVORABLES",IF($AL38&lt;12.5%,"ACCIÓN CORRECTIVA",IF($AL38&lt;24%,"OPORTUNIDAD DE MEJORA")))</f>
        <v>ACCIÓN CORRECTIVA</v>
      </c>
    </row>
    <row r="39" spans="1:46" ht="60" x14ac:dyDescent="0.2">
      <c r="A39" s="46" t="s">
        <v>128</v>
      </c>
      <c r="B39" s="383"/>
      <c r="C39" s="56" t="s">
        <v>177</v>
      </c>
      <c r="D39" s="54"/>
      <c r="E39" s="4" t="s">
        <v>179</v>
      </c>
      <c r="F39" s="220" t="s">
        <v>190</v>
      </c>
      <c r="G39" s="57" t="s">
        <v>191</v>
      </c>
      <c r="H39" s="57" t="s">
        <v>192</v>
      </c>
      <c r="I39" s="48" t="s">
        <v>44</v>
      </c>
      <c r="J39" s="325" t="s">
        <v>193</v>
      </c>
      <c r="K39" s="326"/>
      <c r="L39" s="10" t="s">
        <v>162</v>
      </c>
      <c r="M39" s="306" t="s">
        <v>184</v>
      </c>
      <c r="N39" s="10" t="s">
        <v>194</v>
      </c>
      <c r="O39" s="10" t="s">
        <v>194</v>
      </c>
      <c r="P39" s="276" t="s">
        <v>579</v>
      </c>
      <c r="Q39" s="276"/>
      <c r="R39" s="276" t="s">
        <v>579</v>
      </c>
      <c r="S39" s="276" t="s">
        <v>579</v>
      </c>
      <c r="T39" s="276" t="s">
        <v>579</v>
      </c>
      <c r="U39" s="276" t="s">
        <v>579</v>
      </c>
      <c r="V39" s="276"/>
      <c r="W39" s="276"/>
      <c r="X39" s="276"/>
      <c r="Y39" s="276"/>
      <c r="Z39" s="277"/>
      <c r="AA39" s="275"/>
      <c r="AB39" s="276"/>
      <c r="AC39" s="275"/>
      <c r="AD39" s="276"/>
      <c r="AE39" s="275"/>
      <c r="AF39" s="276"/>
      <c r="AG39" s="275"/>
      <c r="AH39" s="278"/>
      <c r="AI39" s="279"/>
      <c r="AJ39" s="278"/>
      <c r="AK39" s="279"/>
      <c r="AL39" s="280"/>
      <c r="AM39" s="275"/>
      <c r="AN39" s="6"/>
      <c r="AO39" s="19"/>
      <c r="AP39" s="6"/>
      <c r="AQ39" s="10"/>
      <c r="AR39" s="10"/>
      <c r="AS39" s="222"/>
      <c r="AT39" s="20" t="str">
        <f>IF($AL39&gt;=25%,"RESULTADOS FAVORABLES",IF($AL39&lt;12.5%,"ACCIÓN CORRECTIVA",IF($AL39&lt;24%,"OPORTUNIDAD DE MEJORA")))</f>
        <v>ACCIÓN CORRECTIVA</v>
      </c>
    </row>
    <row r="40" spans="1:46" ht="105" x14ac:dyDescent="0.2">
      <c r="A40" s="46" t="s">
        <v>128</v>
      </c>
      <c r="B40" s="383"/>
      <c r="C40" s="56" t="s">
        <v>177</v>
      </c>
      <c r="D40" s="54"/>
      <c r="E40" s="4" t="s">
        <v>179</v>
      </c>
      <c r="F40" s="184" t="s">
        <v>195</v>
      </c>
      <c r="G40" s="18" t="s">
        <v>196</v>
      </c>
      <c r="H40" s="60" t="s">
        <v>197</v>
      </c>
      <c r="I40" s="48" t="s">
        <v>44</v>
      </c>
      <c r="J40" s="325" t="s">
        <v>198</v>
      </c>
      <c r="K40" s="326"/>
      <c r="L40" s="10" t="s">
        <v>162</v>
      </c>
      <c r="M40" s="48" t="s">
        <v>199</v>
      </c>
      <c r="N40" s="6" t="s">
        <v>137</v>
      </c>
      <c r="O40" s="6" t="s">
        <v>137</v>
      </c>
      <c r="P40" s="276" t="s">
        <v>579</v>
      </c>
      <c r="Q40" s="276" t="s">
        <v>579</v>
      </c>
      <c r="R40" s="276" t="s">
        <v>579</v>
      </c>
      <c r="S40" s="276" t="s">
        <v>579</v>
      </c>
      <c r="T40" s="281">
        <f>1259191550/2500000000</f>
        <v>0.50367662000000002</v>
      </c>
      <c r="U40" s="275" t="s">
        <v>620</v>
      </c>
      <c r="V40" s="276"/>
      <c r="W40" s="275"/>
      <c r="X40" s="276"/>
      <c r="Y40" s="275"/>
      <c r="Z40" s="277"/>
      <c r="AA40" s="275"/>
      <c r="AB40" s="276"/>
      <c r="AC40" s="275"/>
      <c r="AD40" s="276"/>
      <c r="AE40" s="275"/>
      <c r="AF40" s="281"/>
      <c r="AG40" s="275"/>
      <c r="AH40" s="278"/>
      <c r="AI40" s="282"/>
      <c r="AJ40" s="278"/>
      <c r="AK40" s="282"/>
      <c r="AL40" s="281"/>
      <c r="AM40" s="275"/>
      <c r="AN40" s="19"/>
      <c r="AO40" s="19"/>
      <c r="AP40" s="6"/>
      <c r="AQ40" s="10"/>
      <c r="AR40" s="10"/>
      <c r="AS40" s="222"/>
      <c r="AT40" s="20" t="str">
        <f t="shared" ref="AT40:AT46" si="0">IF($AL40&gt;=25%,"RESULTADOS FAVORABLES",IF($AL40&lt;12.5%,"ACCIÓN CORRECTIVA",IF($AL40&lt;24%,"OPORTUNIDAD DE MEJORA")))</f>
        <v>ACCIÓN CORRECTIVA</v>
      </c>
    </row>
    <row r="41" spans="1:46" ht="90" x14ac:dyDescent="0.2">
      <c r="A41" s="46" t="s">
        <v>128</v>
      </c>
      <c r="B41" s="383"/>
      <c r="C41" s="56" t="s">
        <v>177</v>
      </c>
      <c r="D41" s="54"/>
      <c r="E41" s="4" t="s">
        <v>179</v>
      </c>
      <c r="F41" s="184" t="s">
        <v>195</v>
      </c>
      <c r="G41" s="18" t="s">
        <v>196</v>
      </c>
      <c r="H41" s="60" t="s">
        <v>197</v>
      </c>
      <c r="I41" s="48" t="s">
        <v>44</v>
      </c>
      <c r="J41" s="325" t="s">
        <v>198</v>
      </c>
      <c r="K41" s="326"/>
      <c r="L41" s="10" t="s">
        <v>162</v>
      </c>
      <c r="M41" s="48" t="s">
        <v>199</v>
      </c>
      <c r="N41" s="6" t="s">
        <v>137</v>
      </c>
      <c r="O41" s="6" t="s">
        <v>137</v>
      </c>
      <c r="P41" s="276" t="s">
        <v>579</v>
      </c>
      <c r="Q41" s="276" t="s">
        <v>579</v>
      </c>
      <c r="R41" s="276" t="s">
        <v>579</v>
      </c>
      <c r="S41" s="276" t="s">
        <v>579</v>
      </c>
      <c r="T41" s="281">
        <f>(2171301670/4000000000)</f>
        <v>0.54282541750000002</v>
      </c>
      <c r="U41" s="275" t="s">
        <v>621</v>
      </c>
      <c r="V41" s="276"/>
      <c r="W41" s="275"/>
      <c r="X41" s="276"/>
      <c r="Y41" s="275"/>
      <c r="Z41" s="277"/>
      <c r="AA41" s="275"/>
      <c r="AB41" s="276"/>
      <c r="AC41" s="275"/>
      <c r="AD41" s="276"/>
      <c r="AE41" s="275"/>
      <c r="AF41" s="281"/>
      <c r="AG41" s="275"/>
      <c r="AH41" s="278"/>
      <c r="AI41" s="282"/>
      <c r="AJ41" s="278"/>
      <c r="AK41" s="282"/>
      <c r="AL41" s="281"/>
      <c r="AM41" s="283"/>
      <c r="AN41" s="19"/>
      <c r="AO41" s="19"/>
      <c r="AP41" s="6"/>
      <c r="AQ41" s="10"/>
      <c r="AR41" s="10"/>
      <c r="AS41" s="471"/>
      <c r="AT41" s="20" t="str">
        <f t="shared" si="0"/>
        <v>ACCIÓN CORRECTIVA</v>
      </c>
    </row>
    <row r="42" spans="1:46" ht="75" x14ac:dyDescent="0.2">
      <c r="A42" s="46" t="s">
        <v>128</v>
      </c>
      <c r="B42" s="383"/>
      <c r="C42" s="56" t="s">
        <v>177</v>
      </c>
      <c r="D42" s="54"/>
      <c r="E42" s="4" t="s">
        <v>179</v>
      </c>
      <c r="F42" s="184" t="s">
        <v>195</v>
      </c>
      <c r="G42" s="18" t="s">
        <v>196</v>
      </c>
      <c r="H42" s="60" t="s">
        <v>197</v>
      </c>
      <c r="I42" s="48" t="s">
        <v>44</v>
      </c>
      <c r="J42" s="325" t="s">
        <v>198</v>
      </c>
      <c r="K42" s="326"/>
      <c r="L42" s="10" t="s">
        <v>162</v>
      </c>
      <c r="M42" s="48" t="s">
        <v>199</v>
      </c>
      <c r="N42" s="6" t="s">
        <v>137</v>
      </c>
      <c r="O42" s="6" t="s">
        <v>137</v>
      </c>
      <c r="P42" s="276" t="s">
        <v>579</v>
      </c>
      <c r="Q42" s="276" t="s">
        <v>579</v>
      </c>
      <c r="R42" s="276" t="s">
        <v>579</v>
      </c>
      <c r="S42" s="276" t="s">
        <v>579</v>
      </c>
      <c r="T42" s="281">
        <f>(283508873/600000000)</f>
        <v>0.47251478833333332</v>
      </c>
      <c r="U42" s="275" t="s">
        <v>622</v>
      </c>
      <c r="V42" s="276"/>
      <c r="W42" s="275"/>
      <c r="X42" s="276"/>
      <c r="Y42" s="275"/>
      <c r="Z42" s="277"/>
      <c r="AA42" s="275"/>
      <c r="AB42" s="276"/>
      <c r="AC42" s="275"/>
      <c r="AD42" s="276"/>
      <c r="AE42" s="275"/>
      <c r="AF42" s="281"/>
      <c r="AG42" s="275"/>
      <c r="AH42" s="278"/>
      <c r="AI42" s="282"/>
      <c r="AJ42" s="278"/>
      <c r="AK42" s="282"/>
      <c r="AL42" s="281"/>
      <c r="AM42" s="284"/>
      <c r="AN42" s="19"/>
      <c r="AO42" s="19"/>
      <c r="AP42" s="6"/>
      <c r="AQ42" s="10"/>
      <c r="AR42" s="10"/>
      <c r="AS42" s="222"/>
      <c r="AT42" s="20" t="str">
        <f t="shared" si="0"/>
        <v>ACCIÓN CORRECTIVA</v>
      </c>
    </row>
    <row r="43" spans="1:46" ht="75" x14ac:dyDescent="0.2">
      <c r="A43" s="46" t="s">
        <v>128</v>
      </c>
      <c r="B43" s="383"/>
      <c r="C43" s="56" t="s">
        <v>177</v>
      </c>
      <c r="D43" s="54"/>
      <c r="E43" s="4" t="s">
        <v>179</v>
      </c>
      <c r="F43" s="184" t="s">
        <v>195</v>
      </c>
      <c r="G43" s="18" t="s">
        <v>196</v>
      </c>
      <c r="H43" s="60" t="s">
        <v>197</v>
      </c>
      <c r="I43" s="48" t="s">
        <v>44</v>
      </c>
      <c r="J43" s="325" t="s">
        <v>198</v>
      </c>
      <c r="K43" s="326"/>
      <c r="L43" s="10" t="s">
        <v>162</v>
      </c>
      <c r="M43" s="48" t="s">
        <v>199</v>
      </c>
      <c r="N43" s="6" t="s">
        <v>137</v>
      </c>
      <c r="O43" s="6" t="s">
        <v>137</v>
      </c>
      <c r="P43" s="276" t="s">
        <v>579</v>
      </c>
      <c r="Q43" s="276" t="s">
        <v>579</v>
      </c>
      <c r="R43" s="276" t="s">
        <v>579</v>
      </c>
      <c r="S43" s="276" t="s">
        <v>579</v>
      </c>
      <c r="T43" s="281">
        <v>0</v>
      </c>
      <c r="U43" s="275" t="s">
        <v>623</v>
      </c>
      <c r="V43" s="276"/>
      <c r="W43" s="275"/>
      <c r="X43" s="276"/>
      <c r="Y43" s="275"/>
      <c r="Z43" s="277"/>
      <c r="AA43" s="275"/>
      <c r="AB43" s="276"/>
      <c r="AC43" s="275"/>
      <c r="AD43" s="276"/>
      <c r="AE43" s="275"/>
      <c r="AF43" s="281"/>
      <c r="AG43" s="275"/>
      <c r="AH43" s="278"/>
      <c r="AI43" s="282"/>
      <c r="AJ43" s="278"/>
      <c r="AK43" s="282"/>
      <c r="AL43" s="281"/>
      <c r="AM43" s="275"/>
      <c r="AN43" s="19"/>
      <c r="AO43" s="19"/>
      <c r="AP43" s="6"/>
      <c r="AQ43" s="10"/>
      <c r="AR43" s="10"/>
      <c r="AS43" s="222"/>
      <c r="AT43" s="20" t="str">
        <f t="shared" si="0"/>
        <v>ACCIÓN CORRECTIVA</v>
      </c>
    </row>
    <row r="44" spans="1:46" ht="75" x14ac:dyDescent="0.2">
      <c r="A44" s="46" t="s">
        <v>128</v>
      </c>
      <c r="B44" s="383"/>
      <c r="C44" s="56" t="s">
        <v>177</v>
      </c>
      <c r="D44" s="54"/>
      <c r="E44" s="4" t="s">
        <v>179</v>
      </c>
      <c r="F44" s="184" t="s">
        <v>195</v>
      </c>
      <c r="G44" s="18" t="s">
        <v>196</v>
      </c>
      <c r="H44" s="60" t="s">
        <v>197</v>
      </c>
      <c r="I44" s="48" t="s">
        <v>44</v>
      </c>
      <c r="J44" s="325" t="s">
        <v>198</v>
      </c>
      <c r="K44" s="326"/>
      <c r="L44" s="10" t="s">
        <v>162</v>
      </c>
      <c r="M44" s="48" t="s">
        <v>199</v>
      </c>
      <c r="N44" s="6" t="s">
        <v>137</v>
      </c>
      <c r="O44" s="6" t="s">
        <v>137</v>
      </c>
      <c r="P44" s="276" t="s">
        <v>579</v>
      </c>
      <c r="Q44" s="276" t="s">
        <v>579</v>
      </c>
      <c r="R44" s="276" t="s">
        <v>579</v>
      </c>
      <c r="S44" s="276" t="s">
        <v>579</v>
      </c>
      <c r="T44" s="281">
        <v>0</v>
      </c>
      <c r="U44" s="275" t="s">
        <v>624</v>
      </c>
      <c r="V44" s="276"/>
      <c r="W44" s="275"/>
      <c r="X44" s="276"/>
      <c r="Y44" s="275"/>
      <c r="Z44" s="277"/>
      <c r="AA44" s="275"/>
      <c r="AB44" s="276"/>
      <c r="AC44" s="275"/>
      <c r="AD44" s="276"/>
      <c r="AE44" s="275"/>
      <c r="AF44" s="281"/>
      <c r="AG44" s="275"/>
      <c r="AH44" s="278"/>
      <c r="AI44" s="282"/>
      <c r="AJ44" s="278"/>
      <c r="AK44" s="282"/>
      <c r="AL44" s="281"/>
      <c r="AM44" s="284"/>
      <c r="AN44" s="19"/>
      <c r="AO44" s="19"/>
      <c r="AP44" s="6"/>
      <c r="AQ44" s="10"/>
      <c r="AR44" s="10"/>
      <c r="AS44" s="222"/>
      <c r="AT44" s="20" t="str">
        <f t="shared" si="0"/>
        <v>ACCIÓN CORRECTIVA</v>
      </c>
    </row>
    <row r="45" spans="1:46" ht="105" x14ac:dyDescent="0.2">
      <c r="A45" s="46" t="s">
        <v>128</v>
      </c>
      <c r="B45" s="383"/>
      <c r="C45" s="56" t="s">
        <v>177</v>
      </c>
      <c r="D45" s="54"/>
      <c r="E45" s="4" t="s">
        <v>179</v>
      </c>
      <c r="F45" s="184" t="s">
        <v>195</v>
      </c>
      <c r="G45" s="18" t="s">
        <v>196</v>
      </c>
      <c r="H45" s="60" t="s">
        <v>197</v>
      </c>
      <c r="I45" s="48" t="s">
        <v>44</v>
      </c>
      <c r="J45" s="325" t="s">
        <v>198</v>
      </c>
      <c r="K45" s="326"/>
      <c r="L45" s="10" t="s">
        <v>162</v>
      </c>
      <c r="M45" s="48" t="s">
        <v>199</v>
      </c>
      <c r="N45" s="6" t="s">
        <v>137</v>
      </c>
      <c r="O45" s="6" t="s">
        <v>137</v>
      </c>
      <c r="P45" s="276" t="s">
        <v>579</v>
      </c>
      <c r="Q45" s="276" t="s">
        <v>579</v>
      </c>
      <c r="R45" s="276" t="s">
        <v>579</v>
      </c>
      <c r="S45" s="276" t="s">
        <v>579</v>
      </c>
      <c r="T45" s="281">
        <f>(365718565/1453624000)</f>
        <v>0.25159089627028725</v>
      </c>
      <c r="U45" s="275" t="s">
        <v>625</v>
      </c>
      <c r="V45" s="276"/>
      <c r="W45" s="275"/>
      <c r="X45" s="276"/>
      <c r="Y45" s="275"/>
      <c r="Z45" s="277"/>
      <c r="AA45" s="275"/>
      <c r="AB45" s="276"/>
      <c r="AC45" s="275"/>
      <c r="AD45" s="276"/>
      <c r="AE45" s="275"/>
      <c r="AF45" s="281"/>
      <c r="AG45" s="275"/>
      <c r="AH45" s="278"/>
      <c r="AI45" s="282"/>
      <c r="AJ45" s="278"/>
      <c r="AK45" s="282"/>
      <c r="AL45" s="281"/>
      <c r="AM45" s="284"/>
      <c r="AN45" s="19"/>
      <c r="AO45" s="19"/>
      <c r="AP45" s="6"/>
      <c r="AQ45" s="10"/>
      <c r="AR45" s="10"/>
      <c r="AS45" s="222"/>
      <c r="AT45" s="20" t="str">
        <f t="shared" si="0"/>
        <v>ACCIÓN CORRECTIVA</v>
      </c>
    </row>
    <row r="46" spans="1:46" ht="90.75" thickBot="1" x14ac:dyDescent="0.25">
      <c r="A46" s="46" t="s">
        <v>128</v>
      </c>
      <c r="B46" s="383"/>
      <c r="C46" s="56" t="s">
        <v>177</v>
      </c>
      <c r="D46" s="54"/>
      <c r="E46" s="4" t="s">
        <v>179</v>
      </c>
      <c r="F46" s="184" t="s">
        <v>195</v>
      </c>
      <c r="G46" s="18" t="s">
        <v>196</v>
      </c>
      <c r="H46" s="60" t="s">
        <v>197</v>
      </c>
      <c r="I46" s="48" t="s">
        <v>44</v>
      </c>
      <c r="J46" s="325" t="s">
        <v>198</v>
      </c>
      <c r="K46" s="326"/>
      <c r="L46" s="10" t="s">
        <v>162</v>
      </c>
      <c r="M46" s="48" t="s">
        <v>199</v>
      </c>
      <c r="N46" s="6" t="s">
        <v>137</v>
      </c>
      <c r="O46" s="6" t="s">
        <v>137</v>
      </c>
      <c r="P46" s="276" t="s">
        <v>579</v>
      </c>
      <c r="Q46" s="276" t="s">
        <v>579</v>
      </c>
      <c r="R46" s="276" t="s">
        <v>579</v>
      </c>
      <c r="S46" s="276" t="s">
        <v>579</v>
      </c>
      <c r="T46" s="281">
        <f>(459774301/1680000000)</f>
        <v>0.27367517916666667</v>
      </c>
      <c r="U46" s="275" t="s">
        <v>626</v>
      </c>
      <c r="V46" s="276"/>
      <c r="W46" s="275"/>
      <c r="X46" s="276"/>
      <c r="Y46" s="275"/>
      <c r="Z46" s="277"/>
      <c r="AA46" s="275"/>
      <c r="AB46" s="276"/>
      <c r="AC46" s="275"/>
      <c r="AD46" s="276"/>
      <c r="AE46" s="275"/>
      <c r="AF46" s="281"/>
      <c r="AG46" s="275"/>
      <c r="AH46" s="278"/>
      <c r="AI46" s="282"/>
      <c r="AJ46" s="278"/>
      <c r="AK46" s="282"/>
      <c r="AL46" s="281"/>
      <c r="AM46" s="275"/>
      <c r="AN46" s="19"/>
      <c r="AO46" s="19"/>
      <c r="AP46" s="6"/>
      <c r="AQ46" s="10"/>
      <c r="AR46" s="10"/>
      <c r="AS46" s="222"/>
      <c r="AT46" s="11" t="str">
        <f t="shared" si="0"/>
        <v>ACCIÓN CORRECTIVA</v>
      </c>
    </row>
    <row r="47" spans="1:46" ht="210.75" thickBot="1" x14ac:dyDescent="0.25">
      <c r="A47" s="46" t="s">
        <v>128</v>
      </c>
      <c r="B47" s="383"/>
      <c r="C47" s="56" t="s">
        <v>177</v>
      </c>
      <c r="D47" s="54"/>
      <c r="E47" s="4" t="s">
        <v>179</v>
      </c>
      <c r="F47" s="184" t="s">
        <v>200</v>
      </c>
      <c r="G47" s="57" t="s">
        <v>201</v>
      </c>
      <c r="H47" s="60" t="s">
        <v>202</v>
      </c>
      <c r="I47" s="48" t="s">
        <v>51</v>
      </c>
      <c r="J47" s="325" t="s">
        <v>203</v>
      </c>
      <c r="K47" s="326"/>
      <c r="L47" s="10" t="s">
        <v>162</v>
      </c>
      <c r="M47" s="48" t="s">
        <v>199</v>
      </c>
      <c r="N47" s="10" t="s">
        <v>204</v>
      </c>
      <c r="O47" s="6" t="s">
        <v>137</v>
      </c>
      <c r="P47" s="285">
        <f>(841128484/842069614)</f>
        <v>0.99888236081156112</v>
      </c>
      <c r="Q47" s="251" t="s">
        <v>612</v>
      </c>
      <c r="R47" s="281">
        <f>(310644605.1/313677129)</f>
        <v>0.99033233978623936</v>
      </c>
      <c r="S47" s="251" t="s">
        <v>613</v>
      </c>
      <c r="T47" s="281">
        <f>854715362.7/856273061</f>
        <v>0.99818083930121448</v>
      </c>
      <c r="U47" s="251" t="s">
        <v>627</v>
      </c>
      <c r="V47" s="276"/>
      <c r="W47" s="276"/>
      <c r="X47" s="276"/>
      <c r="Y47" s="276"/>
      <c r="Z47" s="277"/>
      <c r="AA47" s="275"/>
      <c r="AB47" s="286"/>
      <c r="AC47" s="275"/>
      <c r="AD47" s="286"/>
      <c r="AE47" s="275"/>
      <c r="AF47" s="286"/>
      <c r="AG47" s="275"/>
      <c r="AH47" s="278"/>
      <c r="AI47" s="282"/>
      <c r="AJ47" s="282"/>
      <c r="AK47" s="282"/>
      <c r="AL47" s="286"/>
      <c r="AM47" s="276"/>
      <c r="AN47" s="6"/>
      <c r="AO47" s="19"/>
      <c r="AP47" s="6"/>
      <c r="AQ47" s="10"/>
      <c r="AR47" s="10"/>
      <c r="AS47" s="222"/>
      <c r="AT47" s="20" t="str">
        <f>IF($AL47&gt;=24.5%,"RESULTADOS FAVORABLES",IF($AL47&lt;12.5%,"ACCIÓN CORRECTIVA",IF($AL47&lt;24%,"OPORTUNIDAD DE MEJORA")))</f>
        <v>ACCIÓN CORRECTIVA</v>
      </c>
    </row>
    <row r="48" spans="1:46" ht="105" x14ac:dyDescent="0.2">
      <c r="A48" s="46" t="s">
        <v>128</v>
      </c>
      <c r="B48" s="383"/>
      <c r="C48" s="56" t="s">
        <v>177</v>
      </c>
      <c r="D48" s="54" t="s">
        <v>205</v>
      </c>
      <c r="E48" s="4" t="s">
        <v>66</v>
      </c>
      <c r="F48" s="184" t="s">
        <v>206</v>
      </c>
      <c r="G48" s="18" t="s">
        <v>207</v>
      </c>
      <c r="H48" s="60" t="s">
        <v>506</v>
      </c>
      <c r="I48" s="48" t="s">
        <v>51</v>
      </c>
      <c r="J48" s="325" t="s">
        <v>507</v>
      </c>
      <c r="K48" s="326"/>
      <c r="L48" s="10" t="s">
        <v>162</v>
      </c>
      <c r="M48" s="48" t="s">
        <v>208</v>
      </c>
      <c r="N48" s="6" t="s">
        <v>209</v>
      </c>
      <c r="O48" s="6" t="s">
        <v>209</v>
      </c>
      <c r="P48" s="282" t="s">
        <v>579</v>
      </c>
      <c r="Q48" s="276" t="s">
        <v>579</v>
      </c>
      <c r="R48" s="282" t="s">
        <v>579</v>
      </c>
      <c r="S48" s="276" t="s">
        <v>579</v>
      </c>
      <c r="T48" s="282" t="s">
        <v>579</v>
      </c>
      <c r="U48" s="276" t="s">
        <v>579</v>
      </c>
      <c r="V48" s="276"/>
      <c r="W48" s="276"/>
      <c r="X48" s="276"/>
      <c r="Y48" s="276"/>
      <c r="Z48" s="276"/>
      <c r="AA48" s="276"/>
      <c r="AB48" s="276"/>
      <c r="AC48" s="276"/>
      <c r="AD48" s="276"/>
      <c r="AE48" s="276"/>
      <c r="AF48" s="276"/>
      <c r="AG48" s="276"/>
      <c r="AH48" s="278"/>
      <c r="AI48" s="282"/>
      <c r="AJ48" s="278"/>
      <c r="AK48" s="282"/>
      <c r="AL48" s="278"/>
      <c r="AM48" s="282"/>
      <c r="AN48" s="6"/>
      <c r="AO48" s="19"/>
      <c r="AP48" s="6"/>
      <c r="AQ48" s="10"/>
      <c r="AR48" s="10"/>
      <c r="AS48" s="222"/>
      <c r="AT48" s="20" t="str">
        <f>IF($AL48&gt;=24.5%,"RESULTADOS FAVORABLES",IF($AL48&lt;12.5%,"ACCIÓN CORRECTIVA",IF($AL48&lt;24%,"OPORTUNIDAD DE MEJORA")))</f>
        <v>ACCIÓN CORRECTIVA</v>
      </c>
    </row>
    <row r="49" spans="1:46" ht="75" x14ac:dyDescent="0.2">
      <c r="A49" s="46" t="s">
        <v>128</v>
      </c>
      <c r="B49" s="383"/>
      <c r="C49" s="56" t="s">
        <v>177</v>
      </c>
      <c r="D49" s="54"/>
      <c r="E49" s="4" t="s">
        <v>66</v>
      </c>
      <c r="F49" s="184" t="s">
        <v>210</v>
      </c>
      <c r="G49" s="18" t="s">
        <v>211</v>
      </c>
      <c r="H49" s="60" t="s">
        <v>212</v>
      </c>
      <c r="I49" s="48" t="s">
        <v>51</v>
      </c>
      <c r="J49" s="325" t="s">
        <v>213</v>
      </c>
      <c r="K49" s="326"/>
      <c r="L49" s="48" t="s">
        <v>214</v>
      </c>
      <c r="M49" s="48" t="s">
        <v>208</v>
      </c>
      <c r="N49" s="6" t="s">
        <v>137</v>
      </c>
      <c r="O49" s="6" t="s">
        <v>137</v>
      </c>
      <c r="P49" s="282" t="s">
        <v>579</v>
      </c>
      <c r="Q49" s="276" t="s">
        <v>579</v>
      </c>
      <c r="R49" s="282" t="s">
        <v>579</v>
      </c>
      <c r="S49" s="276" t="s">
        <v>579</v>
      </c>
      <c r="T49" s="282" t="s">
        <v>579</v>
      </c>
      <c r="U49" s="276" t="s">
        <v>579</v>
      </c>
      <c r="V49" s="276"/>
      <c r="W49" s="276"/>
      <c r="X49" s="276"/>
      <c r="Y49" s="276"/>
      <c r="Z49" s="276"/>
      <c r="AA49" s="276"/>
      <c r="AB49" s="276"/>
      <c r="AC49" s="276"/>
      <c r="AD49" s="276"/>
      <c r="AE49" s="276"/>
      <c r="AF49" s="276"/>
      <c r="AG49" s="276"/>
      <c r="AH49" s="278"/>
      <c r="AI49" s="282"/>
      <c r="AJ49" s="278"/>
      <c r="AK49" s="282"/>
      <c r="AL49" s="278"/>
      <c r="AM49" s="282"/>
      <c r="AN49" s="6"/>
      <c r="AO49" s="19"/>
      <c r="AP49" s="6"/>
      <c r="AQ49" s="10"/>
      <c r="AR49" s="10"/>
      <c r="AS49" s="222"/>
      <c r="AT49" s="20" t="str">
        <f>IF($AL49&gt;=24.5%,"RESULTADOS FAVORABLES",IF($AL49&lt;12.5%,"ACCIÓN CORRECTIVA",IF($AL49&lt;24%,"OPORTUNIDAD DE MEJORA")))</f>
        <v>ACCIÓN CORRECTIVA</v>
      </c>
    </row>
    <row r="50" spans="1:46" ht="285" x14ac:dyDescent="0.2">
      <c r="A50" s="46" t="s">
        <v>128</v>
      </c>
      <c r="B50" s="383"/>
      <c r="C50" s="56" t="s">
        <v>177</v>
      </c>
      <c r="D50" s="54" t="s">
        <v>215</v>
      </c>
      <c r="E50" s="4" t="s">
        <v>216</v>
      </c>
      <c r="F50" s="220" t="s">
        <v>217</v>
      </c>
      <c r="G50" s="18" t="s">
        <v>516</v>
      </c>
      <c r="H50" s="5" t="s">
        <v>218</v>
      </c>
      <c r="I50" s="48" t="s">
        <v>44</v>
      </c>
      <c r="J50" s="307" t="s">
        <v>219</v>
      </c>
      <c r="K50" s="308"/>
      <c r="L50" s="48" t="s">
        <v>162</v>
      </c>
      <c r="M50" s="306" t="s">
        <v>184</v>
      </c>
      <c r="N50" s="6" t="s">
        <v>48</v>
      </c>
      <c r="O50" s="6" t="s">
        <v>48</v>
      </c>
      <c r="P50" s="36">
        <f>382624402/2378130388</f>
        <v>0.16089294511802857</v>
      </c>
      <c r="Q50" s="191" t="s">
        <v>756</v>
      </c>
      <c r="R50" s="8">
        <f>271141511/2057745412</f>
        <v>0.1317663056949632</v>
      </c>
      <c r="S50" s="24" t="s">
        <v>757</v>
      </c>
      <c r="T50" s="8">
        <f>1673820280/4015067974</f>
        <v>0.41688466816477365</v>
      </c>
      <c r="U50" s="24" t="s">
        <v>758</v>
      </c>
      <c r="V50" s="274"/>
      <c r="W50" s="275"/>
      <c r="X50" s="274"/>
      <c r="Y50" s="275"/>
      <c r="Z50" s="274"/>
      <c r="AA50" s="275"/>
      <c r="AB50" s="274"/>
      <c r="AC50" s="275"/>
      <c r="AD50" s="274"/>
      <c r="AE50" s="275"/>
      <c r="AF50" s="274"/>
      <c r="AG50" s="275"/>
      <c r="AH50" s="278"/>
      <c r="AI50" s="279"/>
      <c r="AJ50" s="278"/>
      <c r="AK50" s="279"/>
      <c r="AL50" s="278"/>
      <c r="AM50" s="279"/>
      <c r="AN50" s="6" t="s">
        <v>673</v>
      </c>
      <c r="AO50" s="6" t="s">
        <v>730</v>
      </c>
      <c r="AP50" s="6"/>
      <c r="AQ50" s="10"/>
      <c r="AR50" s="10"/>
      <c r="AS50" s="50"/>
      <c r="AT50" s="26" t="str">
        <f>+[1]Hoja1!$AS$20</f>
        <v>ACCIÓN CORRECTIVA</v>
      </c>
    </row>
    <row r="51" spans="1:46" ht="150" x14ac:dyDescent="0.2">
      <c r="A51" s="46" t="s">
        <v>128</v>
      </c>
      <c r="B51" s="383"/>
      <c r="C51" s="56" t="s">
        <v>177</v>
      </c>
      <c r="D51" s="54"/>
      <c r="E51" s="4" t="s">
        <v>216</v>
      </c>
      <c r="F51" s="184" t="s">
        <v>220</v>
      </c>
      <c r="G51" s="18" t="s">
        <v>221</v>
      </c>
      <c r="H51" s="60" t="s">
        <v>222</v>
      </c>
      <c r="I51" s="48" t="s">
        <v>44</v>
      </c>
      <c r="J51" s="325" t="s">
        <v>223</v>
      </c>
      <c r="K51" s="326"/>
      <c r="L51" s="48" t="s">
        <v>224</v>
      </c>
      <c r="M51" s="48" t="s">
        <v>184</v>
      </c>
      <c r="N51" s="6" t="s">
        <v>48</v>
      </c>
      <c r="O51" s="6" t="s">
        <v>48</v>
      </c>
      <c r="P51" s="287">
        <f>((610/457)-1)*100</f>
        <v>33.479212253829324</v>
      </c>
      <c r="Q51" s="275" t="s">
        <v>614</v>
      </c>
      <c r="R51" s="287">
        <f>((819/858)-1)*100</f>
        <v>-4.5454545454545414</v>
      </c>
      <c r="S51" s="275" t="s">
        <v>615</v>
      </c>
      <c r="T51" s="287">
        <f>((420/635)-1)*100</f>
        <v>-33.85826771653543</v>
      </c>
      <c r="U51" s="275" t="s">
        <v>628</v>
      </c>
      <c r="V51" s="287">
        <f>((281/1043)-1)*100</f>
        <v>-73.058485139022039</v>
      </c>
      <c r="W51" s="275" t="s">
        <v>629</v>
      </c>
      <c r="X51" s="287">
        <f>((378/922)-1)*100</f>
        <v>-59.00216919739696</v>
      </c>
      <c r="Y51" s="275" t="s">
        <v>630</v>
      </c>
      <c r="Z51" s="287">
        <f>((333/630)-1)*100</f>
        <v>-47.142857142857139</v>
      </c>
      <c r="AA51" s="275" t="s">
        <v>631</v>
      </c>
      <c r="AB51" s="274"/>
      <c r="AC51" s="275"/>
      <c r="AD51" s="274"/>
      <c r="AE51" s="275"/>
      <c r="AF51" s="274"/>
      <c r="AG51" s="275"/>
      <c r="AH51" s="278"/>
      <c r="AI51" s="279"/>
      <c r="AJ51" s="278"/>
      <c r="AK51" s="279"/>
      <c r="AL51" s="278"/>
      <c r="AM51" s="279"/>
      <c r="AN51" s="6"/>
      <c r="AO51" s="6"/>
      <c r="AP51" s="6"/>
      <c r="AQ51" s="10"/>
      <c r="AR51" s="10"/>
      <c r="AS51" s="222"/>
      <c r="AT51" s="20" t="str">
        <f>IF($AL51&lt;=10%,"RESULTADOS FAVORABLES",IF($AL51&gt;11%,"ACCIÓN CORRECTIVA",IF($AL51&gt;10.5%,"OPORTUNIDAD DE MEJORA")))</f>
        <v>RESULTADOS FAVORABLES</v>
      </c>
    </row>
    <row r="52" spans="1:46" ht="105" x14ac:dyDescent="0.2">
      <c r="A52" s="46" t="s">
        <v>128</v>
      </c>
      <c r="B52" s="383"/>
      <c r="C52" s="56" t="s">
        <v>177</v>
      </c>
      <c r="D52" s="54"/>
      <c r="E52" s="4" t="s">
        <v>216</v>
      </c>
      <c r="F52" s="184" t="s">
        <v>225</v>
      </c>
      <c r="G52" s="18" t="s">
        <v>226</v>
      </c>
      <c r="H52" s="60" t="s">
        <v>227</v>
      </c>
      <c r="I52" s="48" t="s">
        <v>51</v>
      </c>
      <c r="J52" s="325" t="s">
        <v>228</v>
      </c>
      <c r="K52" s="326"/>
      <c r="L52" s="48" t="s">
        <v>229</v>
      </c>
      <c r="M52" s="48" t="s">
        <v>184</v>
      </c>
      <c r="N52" s="6" t="s">
        <v>48</v>
      </c>
      <c r="O52" s="6" t="s">
        <v>48</v>
      </c>
      <c r="P52" s="287">
        <f>(1/1)*100</f>
        <v>100</v>
      </c>
      <c r="Q52" s="275" t="s">
        <v>616</v>
      </c>
      <c r="R52" s="287">
        <f>+(15/15)*100</f>
        <v>100</v>
      </c>
      <c r="S52" s="275" t="s">
        <v>617</v>
      </c>
      <c r="T52" s="287">
        <f>+(6/6)*100</f>
        <v>100</v>
      </c>
      <c r="U52" s="275" t="s">
        <v>632</v>
      </c>
      <c r="V52" s="287">
        <f>+(6/6)*100</f>
        <v>100</v>
      </c>
      <c r="W52" s="275" t="s">
        <v>633</v>
      </c>
      <c r="X52" s="287">
        <f>+(13/13)*100</f>
        <v>100</v>
      </c>
      <c r="Y52" s="275" t="s">
        <v>634</v>
      </c>
      <c r="Z52" s="287">
        <f>+(10/10)*100</f>
        <v>100</v>
      </c>
      <c r="AA52" s="275" t="s">
        <v>635</v>
      </c>
      <c r="AB52" s="274"/>
      <c r="AC52" s="275"/>
      <c r="AD52" s="274"/>
      <c r="AE52" s="275"/>
      <c r="AF52" s="274"/>
      <c r="AG52" s="275"/>
      <c r="AH52" s="278"/>
      <c r="AI52" s="279"/>
      <c r="AJ52" s="278"/>
      <c r="AK52" s="279"/>
      <c r="AL52" s="278"/>
      <c r="AM52" s="279"/>
      <c r="AN52" s="6"/>
      <c r="AO52" s="19"/>
      <c r="AP52" s="6"/>
      <c r="AQ52" s="10"/>
      <c r="AR52" s="10"/>
      <c r="AS52" s="222"/>
      <c r="AT52" s="20" t="str">
        <f>IF($AL52&gt;=25%,"RESULTADOS FAVORABLES",IF($AL52&lt;12.5%,"ACCIÓN CORRECTIVA",IF($AL52&lt;24%,"OPORTUNIDAD DE MEJORA")))</f>
        <v>ACCIÓN CORRECTIVA</v>
      </c>
    </row>
    <row r="53" spans="1:46" ht="270" x14ac:dyDescent="0.2">
      <c r="A53" s="46" t="s">
        <v>128</v>
      </c>
      <c r="B53" s="230" t="s">
        <v>230</v>
      </c>
      <c r="C53" s="33" t="s">
        <v>231</v>
      </c>
      <c r="D53" s="305" t="s">
        <v>232</v>
      </c>
      <c r="E53" s="4" t="s">
        <v>233</v>
      </c>
      <c r="F53" s="195" t="s">
        <v>234</v>
      </c>
      <c r="G53" s="5" t="s">
        <v>517</v>
      </c>
      <c r="H53" s="5" t="s">
        <v>235</v>
      </c>
      <c r="I53" s="306" t="s">
        <v>44</v>
      </c>
      <c r="J53" s="307" t="s">
        <v>236</v>
      </c>
      <c r="K53" s="308"/>
      <c r="L53" s="306" t="s">
        <v>162</v>
      </c>
      <c r="M53" s="306" t="s">
        <v>237</v>
      </c>
      <c r="N53" s="6" t="s">
        <v>185</v>
      </c>
      <c r="O53" s="6" t="s">
        <v>185</v>
      </c>
      <c r="P53" s="36">
        <f>188272799/2378130388</f>
        <v>7.9168408910638755E-2</v>
      </c>
      <c r="Q53" s="191" t="s">
        <v>759</v>
      </c>
      <c r="R53" s="8">
        <f>233299296/2057745412</f>
        <v>0.11337617114317736</v>
      </c>
      <c r="S53" s="24" t="s">
        <v>760</v>
      </c>
      <c r="T53" s="8">
        <f>364011401/4015067974</f>
        <v>9.0661329610655303E-2</v>
      </c>
      <c r="U53" s="24" t="s">
        <v>761</v>
      </c>
      <c r="V53" s="61"/>
      <c r="W53" s="5"/>
      <c r="X53" s="61"/>
      <c r="Y53" s="302"/>
      <c r="Z53" s="61"/>
      <c r="AA53" s="302"/>
      <c r="AB53" s="61"/>
      <c r="AC53" s="302"/>
      <c r="AD53" s="61"/>
      <c r="AE53" s="197"/>
      <c r="AF53" s="61"/>
      <c r="AG53" s="302"/>
      <c r="AH53" s="249"/>
      <c r="AI53" s="41"/>
      <c r="AJ53" s="171"/>
      <c r="AK53" s="296"/>
      <c r="AL53" s="171"/>
      <c r="AM53" s="296"/>
      <c r="AN53" s="6" t="s">
        <v>673</v>
      </c>
      <c r="AO53" s="6" t="s">
        <v>730</v>
      </c>
      <c r="AP53" s="6"/>
      <c r="AQ53" s="10"/>
      <c r="AR53" s="10"/>
      <c r="AS53" s="222"/>
      <c r="AT53" s="20" t="str">
        <f>+[1]Hoja1!$AS$21</f>
        <v>RESULTADOS FAVORABLES</v>
      </c>
    </row>
    <row r="54" spans="1:46" ht="225" x14ac:dyDescent="0.2">
      <c r="A54" s="46" t="s">
        <v>128</v>
      </c>
      <c r="B54" s="297"/>
      <c r="C54" s="33" t="s">
        <v>231</v>
      </c>
      <c r="D54" s="62"/>
      <c r="E54" s="4" t="s">
        <v>233</v>
      </c>
      <c r="F54" s="195" t="s">
        <v>238</v>
      </c>
      <c r="G54" s="18" t="s">
        <v>239</v>
      </c>
      <c r="H54" s="18" t="s">
        <v>240</v>
      </c>
      <c r="I54" s="10" t="s">
        <v>51</v>
      </c>
      <c r="J54" s="321" t="s">
        <v>241</v>
      </c>
      <c r="K54" s="322"/>
      <c r="L54" s="63" t="s">
        <v>242</v>
      </c>
      <c r="M54" s="10" t="s">
        <v>237</v>
      </c>
      <c r="N54" s="6" t="s">
        <v>137</v>
      </c>
      <c r="O54" s="6" t="s">
        <v>137</v>
      </c>
      <c r="P54" s="126" t="s">
        <v>636</v>
      </c>
      <c r="Q54" s="18" t="s">
        <v>637</v>
      </c>
      <c r="R54" s="126" t="s">
        <v>638</v>
      </c>
      <c r="S54" s="472" t="s">
        <v>639</v>
      </c>
      <c r="T54" s="125">
        <f>30%+(0*100%/17)</f>
        <v>0.3</v>
      </c>
      <c r="U54" s="18" t="s">
        <v>648</v>
      </c>
      <c r="V54" s="62">
        <v>0</v>
      </c>
      <c r="W54" s="195">
        <v>1</v>
      </c>
      <c r="X54" s="62"/>
      <c r="Y54" s="4"/>
      <c r="Z54" s="65"/>
      <c r="AA54" s="4"/>
      <c r="AB54" s="61"/>
      <c r="AC54" s="18"/>
      <c r="AD54" s="61"/>
      <c r="AE54" s="169"/>
      <c r="AF54" s="65"/>
      <c r="AG54" s="18"/>
      <c r="AH54" s="65"/>
      <c r="AI54" s="216"/>
      <c r="AJ54" s="65"/>
      <c r="AK54" s="18"/>
      <c r="AL54" s="65"/>
      <c r="AM54" s="18"/>
      <c r="AN54" s="19"/>
      <c r="AO54" s="19"/>
      <c r="AP54" s="6"/>
      <c r="AQ54" s="10"/>
      <c r="AR54" s="10"/>
      <c r="AS54" s="223"/>
      <c r="AT54" s="20" t="str">
        <f>IF($AL54&gt;=25%,"RESULTADOS FAVORABLES",IF($AL54&lt;12.5%,"ACCIÓN CORRECTIVA",IF($AL54&lt;24%,"OPORTUNIDAD DE MEJORA")))</f>
        <v>ACCIÓN CORRECTIVA</v>
      </c>
    </row>
    <row r="55" spans="1:46" ht="315" x14ac:dyDescent="0.2">
      <c r="A55" s="46" t="s">
        <v>128</v>
      </c>
      <c r="B55" s="297"/>
      <c r="C55" s="33" t="s">
        <v>231</v>
      </c>
      <c r="D55" s="62"/>
      <c r="E55" s="4" t="s">
        <v>233</v>
      </c>
      <c r="F55" s="195" t="s">
        <v>243</v>
      </c>
      <c r="G55" s="4" t="s">
        <v>244</v>
      </c>
      <c r="H55" s="66" t="s">
        <v>245</v>
      </c>
      <c r="I55" s="63" t="s">
        <v>51</v>
      </c>
      <c r="J55" s="315" t="s">
        <v>246</v>
      </c>
      <c r="K55" s="316"/>
      <c r="L55" s="63" t="s">
        <v>242</v>
      </c>
      <c r="M55" s="63" t="s">
        <v>237</v>
      </c>
      <c r="N55" s="6" t="s">
        <v>137</v>
      </c>
      <c r="O55" s="6" t="s">
        <v>137</v>
      </c>
      <c r="P55" s="126" t="s">
        <v>636</v>
      </c>
      <c r="Q55" s="18" t="s">
        <v>640</v>
      </c>
      <c r="R55" s="126" t="s">
        <v>638</v>
      </c>
      <c r="S55" s="472" t="s">
        <v>641</v>
      </c>
      <c r="T55" s="125">
        <f>30%+(2*100%/16)</f>
        <v>0.42499999999999999</v>
      </c>
      <c r="U55" s="10" t="s">
        <v>649</v>
      </c>
      <c r="V55" s="62">
        <v>0.9</v>
      </c>
      <c r="W55" s="4" t="s">
        <v>654</v>
      </c>
      <c r="X55" s="62"/>
      <c r="Y55" s="4"/>
      <c r="Z55" s="65"/>
      <c r="AA55" s="4"/>
      <c r="AB55" s="61"/>
      <c r="AC55" s="4"/>
      <c r="AD55" s="61"/>
      <c r="AE55" s="54"/>
      <c r="AF55" s="65"/>
      <c r="AG55" s="4"/>
      <c r="AH55" s="61"/>
      <c r="AI55" s="169"/>
      <c r="AJ55" s="61"/>
      <c r="AK55" s="18"/>
      <c r="AL55" s="65"/>
      <c r="AM55" s="18"/>
      <c r="AN55" s="19"/>
      <c r="AO55" s="6"/>
      <c r="AP55" s="6"/>
      <c r="AQ55" s="10"/>
      <c r="AR55" s="10"/>
      <c r="AS55" s="223"/>
      <c r="AT55" s="20" t="str">
        <f>IF($AF55&gt;=25%,"RESULTADOS FAVORABLES",IF($AF55&lt;12.5%,"ACCIÓN CORRECTIVA",IF($AF55&lt;24%,"OPORTUNIDAD DE MEJORA")))</f>
        <v>ACCIÓN CORRECTIVA</v>
      </c>
    </row>
    <row r="56" spans="1:46" ht="60" x14ac:dyDescent="0.2">
      <c r="A56" s="46" t="s">
        <v>128</v>
      </c>
      <c r="B56" s="297"/>
      <c r="C56" s="33" t="s">
        <v>231</v>
      </c>
      <c r="D56" s="67"/>
      <c r="E56" s="4" t="s">
        <v>233</v>
      </c>
      <c r="F56" s="195" t="s">
        <v>247</v>
      </c>
      <c r="G56" s="4" t="s">
        <v>248</v>
      </c>
      <c r="H56" s="66" t="s">
        <v>249</v>
      </c>
      <c r="I56" s="63" t="s">
        <v>51</v>
      </c>
      <c r="J56" s="323" t="s">
        <v>250</v>
      </c>
      <c r="K56" s="324"/>
      <c r="L56" s="63" t="s">
        <v>251</v>
      </c>
      <c r="M56" s="63" t="s">
        <v>237</v>
      </c>
      <c r="N56" s="6" t="s">
        <v>48</v>
      </c>
      <c r="O56" s="6" t="s">
        <v>48</v>
      </c>
      <c r="P56" s="249">
        <f>(0*100%)/463</f>
        <v>0</v>
      </c>
      <c r="Q56" s="50" t="s">
        <v>642</v>
      </c>
      <c r="R56" s="249">
        <f>(0*100%)/522</f>
        <v>0</v>
      </c>
      <c r="S56" s="50" t="s">
        <v>643</v>
      </c>
      <c r="T56" s="249">
        <f>(0*100%)/1024</f>
        <v>0</v>
      </c>
      <c r="U56" s="18" t="s">
        <v>650</v>
      </c>
      <c r="V56" s="68" t="s">
        <v>638</v>
      </c>
      <c r="W56" s="4" t="s">
        <v>655</v>
      </c>
      <c r="X56" s="68"/>
      <c r="Y56" s="4"/>
      <c r="Z56" s="68"/>
      <c r="AA56" s="4"/>
      <c r="AB56" s="68"/>
      <c r="AC56" s="4"/>
      <c r="AD56" s="68"/>
      <c r="AE56" s="54"/>
      <c r="AF56" s="68"/>
      <c r="AG56" s="4"/>
      <c r="AH56" s="61"/>
      <c r="AI56" s="169"/>
      <c r="AJ56" s="61"/>
      <c r="AK56" s="18"/>
      <c r="AL56" s="65"/>
      <c r="AM56" s="18"/>
      <c r="AN56" s="6"/>
      <c r="AO56" s="6"/>
      <c r="AP56" s="6"/>
      <c r="AQ56" s="10"/>
      <c r="AR56" s="10"/>
      <c r="AS56" s="223"/>
      <c r="AT56" s="20" t="str">
        <f>IF($AL56&lt;=5%,"RESULTADOS FAVORABLES",IF($AL56&gt;6%,"ACCIÓN CORRECTIVA",IF($AL56&gt;5.5%,"OPORTUNIDAD DE MEJORA")))</f>
        <v>RESULTADOS FAVORABLES</v>
      </c>
    </row>
    <row r="57" spans="1:46" ht="90" x14ac:dyDescent="0.2">
      <c r="A57" s="46" t="s">
        <v>128</v>
      </c>
      <c r="B57" s="297"/>
      <c r="C57" s="33" t="s">
        <v>231</v>
      </c>
      <c r="D57" s="67"/>
      <c r="E57" s="4" t="s">
        <v>233</v>
      </c>
      <c r="F57" s="195" t="s">
        <v>252</v>
      </c>
      <c r="G57" s="69" t="s">
        <v>253</v>
      </c>
      <c r="H57" s="66" t="s">
        <v>254</v>
      </c>
      <c r="I57" s="63" t="s">
        <v>51</v>
      </c>
      <c r="J57" s="315" t="s">
        <v>255</v>
      </c>
      <c r="K57" s="316"/>
      <c r="L57" s="63" t="s">
        <v>251</v>
      </c>
      <c r="M57" s="63" t="s">
        <v>237</v>
      </c>
      <c r="N57" s="6" t="s">
        <v>48</v>
      </c>
      <c r="O57" s="6" t="s">
        <v>48</v>
      </c>
      <c r="P57" s="78">
        <f>(206866*100%)/1302372</f>
        <v>0.15883787427862392</v>
      </c>
      <c r="Q57" s="57" t="s">
        <v>644</v>
      </c>
      <c r="R57" s="78">
        <f>(158563*100%)/1425684</f>
        <v>0.1112188956318511</v>
      </c>
      <c r="S57" s="57" t="s">
        <v>645</v>
      </c>
      <c r="T57" s="78">
        <f>(145605*100%)/1085760</f>
        <v>0.1341042219274978</v>
      </c>
      <c r="U57" s="57" t="s">
        <v>651</v>
      </c>
      <c r="V57" s="125" t="s">
        <v>638</v>
      </c>
      <c r="W57" s="66" t="s">
        <v>656</v>
      </c>
      <c r="X57" s="125"/>
      <c r="Y57" s="66"/>
      <c r="Z57" s="125"/>
      <c r="AA57" s="66"/>
      <c r="AB57" s="65"/>
      <c r="AC57" s="66"/>
      <c r="AD57" s="65"/>
      <c r="AE57" s="199"/>
      <c r="AF57" s="65"/>
      <c r="AG57" s="66"/>
      <c r="AH57" s="71"/>
      <c r="AI57" s="199"/>
      <c r="AJ57" s="70"/>
      <c r="AK57" s="66"/>
      <c r="AL57" s="71"/>
      <c r="AM57" s="18"/>
      <c r="AN57" s="6"/>
      <c r="AO57" s="6"/>
      <c r="AP57" s="6"/>
      <c r="AQ57" s="10"/>
      <c r="AR57" s="10"/>
      <c r="AS57" s="222"/>
      <c r="AT57" s="26" t="str">
        <f>IF($AL57&gt;=90%,"RESULTADOS FAVORABLES",IF($AF57&lt;85%,"ACCIÓN CORRECTIVA",IF($AF57&lt;80%,"OPORTUNIDAD DE MEJORA")))</f>
        <v>ACCIÓN CORRECTIVA</v>
      </c>
    </row>
    <row r="58" spans="1:46" ht="120" x14ac:dyDescent="0.2">
      <c r="A58" s="46" t="s">
        <v>128</v>
      </c>
      <c r="B58" s="297"/>
      <c r="C58" s="33" t="s">
        <v>231</v>
      </c>
      <c r="D58" s="67"/>
      <c r="E58" s="4" t="s">
        <v>256</v>
      </c>
      <c r="F58" s="195" t="s">
        <v>257</v>
      </c>
      <c r="G58" s="4" t="s">
        <v>258</v>
      </c>
      <c r="H58" s="66" t="s">
        <v>259</v>
      </c>
      <c r="I58" s="63" t="s">
        <v>51</v>
      </c>
      <c r="J58" s="315" t="s">
        <v>260</v>
      </c>
      <c r="K58" s="316"/>
      <c r="L58" s="63" t="s">
        <v>261</v>
      </c>
      <c r="M58" s="63" t="s">
        <v>237</v>
      </c>
      <c r="N58" s="6" t="s">
        <v>48</v>
      </c>
      <c r="O58" s="6" t="s">
        <v>48</v>
      </c>
      <c r="P58" s="126">
        <v>0</v>
      </c>
      <c r="Q58" s="57" t="s">
        <v>646</v>
      </c>
      <c r="R58" s="126">
        <v>0</v>
      </c>
      <c r="S58" s="57" t="s">
        <v>646</v>
      </c>
      <c r="T58" s="126">
        <v>0</v>
      </c>
      <c r="U58" s="57" t="s">
        <v>646</v>
      </c>
      <c r="V58" s="62" t="s">
        <v>657</v>
      </c>
      <c r="W58" s="66" t="s">
        <v>658</v>
      </c>
      <c r="X58" s="62"/>
      <c r="Y58" s="66"/>
      <c r="Z58" s="62"/>
      <c r="AA58" s="66"/>
      <c r="AB58" s="62"/>
      <c r="AC58" s="4"/>
      <c r="AD58" s="62"/>
      <c r="AE58" s="54"/>
      <c r="AF58" s="71"/>
      <c r="AG58" s="4"/>
      <c r="AH58" s="70"/>
      <c r="AI58" s="54"/>
      <c r="AJ58" s="70"/>
      <c r="AK58" s="66"/>
      <c r="AL58" s="70"/>
      <c r="AM58" s="18"/>
      <c r="AN58" s="19"/>
      <c r="AO58" s="19"/>
      <c r="AP58" s="6"/>
      <c r="AQ58" s="10"/>
      <c r="AR58" s="10"/>
      <c r="AS58" s="223"/>
      <c r="AT58" s="20" t="str">
        <f>IF($AL58&lt;=7.86%,"RESULTADOS FAVORABLES",IF($AL58&gt;6%,"ACCIÓN CORRECTIVA",IF($AL58&gt;6.5%,"OPORTUNIDAD DE MEJORA")))</f>
        <v>RESULTADOS FAVORABLES</v>
      </c>
    </row>
    <row r="59" spans="1:46" ht="120" x14ac:dyDescent="0.2">
      <c r="A59" s="46" t="s">
        <v>128</v>
      </c>
      <c r="B59" s="297"/>
      <c r="C59" s="33" t="s">
        <v>231</v>
      </c>
      <c r="D59" s="67"/>
      <c r="E59" s="4" t="s">
        <v>256</v>
      </c>
      <c r="F59" s="195" t="s">
        <v>262</v>
      </c>
      <c r="G59" s="4" t="s">
        <v>263</v>
      </c>
      <c r="H59" s="66" t="s">
        <v>264</v>
      </c>
      <c r="I59" s="63" t="s">
        <v>51</v>
      </c>
      <c r="J59" s="315" t="s">
        <v>265</v>
      </c>
      <c r="K59" s="316"/>
      <c r="L59" s="63" t="s">
        <v>242</v>
      </c>
      <c r="M59" s="63" t="s">
        <v>237</v>
      </c>
      <c r="N59" s="6" t="s">
        <v>137</v>
      </c>
      <c r="O59" s="6" t="s">
        <v>137</v>
      </c>
      <c r="P59" s="125" t="s">
        <v>636</v>
      </c>
      <c r="Q59" s="57" t="s">
        <v>647</v>
      </c>
      <c r="R59" s="126" t="s">
        <v>638</v>
      </c>
      <c r="S59" s="18" t="s">
        <v>638</v>
      </c>
      <c r="T59" s="125">
        <f>30%+(1*100%/68)</f>
        <v>0.31470588235294117</v>
      </c>
      <c r="U59" s="18" t="s">
        <v>652</v>
      </c>
      <c r="V59" s="71">
        <v>0.9</v>
      </c>
      <c r="W59" s="66" t="s">
        <v>654</v>
      </c>
      <c r="X59" s="71"/>
      <c r="Y59" s="66"/>
      <c r="Z59" s="71"/>
      <c r="AA59" s="66"/>
      <c r="AB59" s="61"/>
      <c r="AC59" s="66"/>
      <c r="AD59" s="61"/>
      <c r="AE59" s="199"/>
      <c r="AF59" s="71"/>
      <c r="AG59" s="66"/>
      <c r="AH59" s="65"/>
      <c r="AI59" s="199"/>
      <c r="AJ59" s="65"/>
      <c r="AK59" s="66"/>
      <c r="AL59" s="65"/>
      <c r="AM59" s="18"/>
      <c r="AN59" s="19"/>
      <c r="AO59" s="6"/>
      <c r="AP59" s="6"/>
      <c r="AQ59" s="10"/>
      <c r="AR59" s="10"/>
      <c r="AS59" s="223"/>
      <c r="AT59" s="20" t="str">
        <f>IF($AL59&gt;=25%,"RESULTADOS FAVORABLES",IF($AL59&lt;20,"ACCIÓN CORRECTIVA",IF($AL59&lt;=22.5%,"OPORTUNIDAD DE MEJORA")))</f>
        <v>ACCIÓN CORRECTIVA</v>
      </c>
    </row>
    <row r="60" spans="1:46" ht="105" x14ac:dyDescent="0.2">
      <c r="A60" s="46" t="s">
        <v>128</v>
      </c>
      <c r="B60" s="297"/>
      <c r="C60" s="33" t="s">
        <v>231</v>
      </c>
      <c r="D60" s="67"/>
      <c r="E60" s="4" t="s">
        <v>256</v>
      </c>
      <c r="F60" s="195" t="s">
        <v>266</v>
      </c>
      <c r="G60" s="4" t="s">
        <v>267</v>
      </c>
      <c r="H60" s="4" t="s">
        <v>268</v>
      </c>
      <c r="I60" s="63" t="s">
        <v>51</v>
      </c>
      <c r="J60" s="315" t="s">
        <v>265</v>
      </c>
      <c r="K60" s="316"/>
      <c r="L60" s="63" t="s">
        <v>162</v>
      </c>
      <c r="M60" s="63" t="s">
        <v>237</v>
      </c>
      <c r="N60" s="6" t="s">
        <v>209</v>
      </c>
      <c r="O60" s="6" t="s">
        <v>209</v>
      </c>
      <c r="P60" s="126" t="s">
        <v>638</v>
      </c>
      <c r="Q60" s="18" t="s">
        <v>636</v>
      </c>
      <c r="R60" s="126" t="s">
        <v>638</v>
      </c>
      <c r="S60" s="18" t="s">
        <v>638</v>
      </c>
      <c r="T60" s="125">
        <v>0</v>
      </c>
      <c r="U60" s="472" t="s">
        <v>653</v>
      </c>
      <c r="V60" s="62" t="s">
        <v>638</v>
      </c>
      <c r="W60" s="18" t="s">
        <v>654</v>
      </c>
      <c r="X60" s="62"/>
      <c r="Y60" s="18"/>
      <c r="Z60" s="70"/>
      <c r="AA60" s="18"/>
      <c r="AB60" s="61"/>
      <c r="AC60" s="66"/>
      <c r="AD60" s="61"/>
      <c r="AE60" s="199"/>
      <c r="AF60" s="61"/>
      <c r="AG60" s="66"/>
      <c r="AH60" s="61"/>
      <c r="AI60" s="199"/>
      <c r="AJ60" s="61"/>
      <c r="AK60" s="66"/>
      <c r="AL60" s="61"/>
      <c r="AM60" s="66"/>
      <c r="AN60" s="6"/>
      <c r="AO60" s="6"/>
      <c r="AP60" s="6"/>
      <c r="AQ60" s="10"/>
      <c r="AR60" s="10"/>
      <c r="AS60" s="223"/>
      <c r="AT60" s="26" t="str">
        <f>IF($AL60&gt;=90%,"RESULTADOS FAVORABLES",IF($AL60&lt;80,"ACCIÓN CORRECTIVA",IF($AL60&lt;=85%,"OPORTUNIDAD DE MEJORA")))</f>
        <v>ACCIÓN CORRECTIVA</v>
      </c>
    </row>
    <row r="61" spans="1:46" ht="255" x14ac:dyDescent="0.2">
      <c r="A61" s="72" t="s">
        <v>128</v>
      </c>
      <c r="B61" s="2"/>
      <c r="C61" s="73" t="s">
        <v>269</v>
      </c>
      <c r="D61" s="67"/>
      <c r="E61" s="50" t="s">
        <v>270</v>
      </c>
      <c r="F61" s="195" t="s">
        <v>271</v>
      </c>
      <c r="G61" s="5" t="s">
        <v>272</v>
      </c>
      <c r="H61" s="5" t="s">
        <v>273</v>
      </c>
      <c r="I61" s="306" t="s">
        <v>44</v>
      </c>
      <c r="J61" s="307" t="s">
        <v>274</v>
      </c>
      <c r="K61" s="308"/>
      <c r="L61" s="306" t="s">
        <v>162</v>
      </c>
      <c r="M61" s="52" t="s">
        <v>275</v>
      </c>
      <c r="N61" s="6" t="s">
        <v>185</v>
      </c>
      <c r="O61" s="6" t="s">
        <v>185</v>
      </c>
      <c r="P61" s="36">
        <f>39746427/2378130388</f>
        <v>1.6713308572380934E-2</v>
      </c>
      <c r="Q61" s="191" t="s">
        <v>762</v>
      </c>
      <c r="R61" s="8">
        <f>25144411/2057745412</f>
        <v>1.2219398402429775E-2</v>
      </c>
      <c r="S61" s="24" t="s">
        <v>763</v>
      </c>
      <c r="T61" s="8">
        <f>115659592/4015067974</f>
        <v>2.8806384536691782E-2</v>
      </c>
      <c r="U61" s="24" t="s">
        <v>764</v>
      </c>
      <c r="V61" s="74"/>
      <c r="W61" s="5"/>
      <c r="X61" s="74"/>
      <c r="Y61" s="302"/>
      <c r="Z61" s="74"/>
      <c r="AA61" s="302"/>
      <c r="AB61" s="36"/>
      <c r="AC61" s="302"/>
      <c r="AD61" s="36"/>
      <c r="AE61" s="197"/>
      <c r="AF61" s="36"/>
      <c r="AG61" s="302"/>
      <c r="AH61" s="61"/>
      <c r="AI61" s="199"/>
      <c r="AJ61" s="61"/>
      <c r="AK61" s="66"/>
      <c r="AL61" s="61"/>
      <c r="AM61" s="66"/>
      <c r="AN61" s="6" t="s">
        <v>673</v>
      </c>
      <c r="AO61" s="6" t="s">
        <v>730</v>
      </c>
      <c r="AP61" s="6"/>
      <c r="AQ61" s="10"/>
      <c r="AR61" s="10"/>
      <c r="AS61" s="222"/>
      <c r="AT61" s="20" t="str">
        <f>+[1]Hoja1!$AS$9</f>
        <v>RESULTADOS FAVORABLES</v>
      </c>
    </row>
    <row r="62" spans="1:46" ht="409.5" x14ac:dyDescent="0.2">
      <c r="A62" s="72" t="s">
        <v>128</v>
      </c>
      <c r="B62" s="2"/>
      <c r="C62" s="73" t="s">
        <v>269</v>
      </c>
      <c r="D62" s="4"/>
      <c r="E62" s="50" t="s">
        <v>270</v>
      </c>
      <c r="F62" s="195" t="s">
        <v>276</v>
      </c>
      <c r="G62" s="18" t="s">
        <v>277</v>
      </c>
      <c r="H62" s="57" t="s">
        <v>278</v>
      </c>
      <c r="I62" s="52" t="s">
        <v>51</v>
      </c>
      <c r="J62" s="473" t="s">
        <v>279</v>
      </c>
      <c r="K62" s="474"/>
      <c r="L62" s="306" t="s">
        <v>46</v>
      </c>
      <c r="M62" s="52" t="s">
        <v>275</v>
      </c>
      <c r="N62" s="6" t="s">
        <v>280</v>
      </c>
      <c r="O62" s="6" t="s">
        <v>280</v>
      </c>
      <c r="P62" s="78">
        <f>(3/3)</f>
        <v>1</v>
      </c>
      <c r="Q62" s="57" t="s">
        <v>659</v>
      </c>
      <c r="R62" s="125">
        <f>(19/19)</f>
        <v>1</v>
      </c>
      <c r="S62" s="57" t="s">
        <v>660</v>
      </c>
      <c r="T62" s="125">
        <f>(5/5)</f>
        <v>1</v>
      </c>
      <c r="U62" s="57" t="s">
        <v>661</v>
      </c>
      <c r="V62" s="75"/>
      <c r="W62" s="57"/>
      <c r="X62" s="75"/>
      <c r="Y62" s="57"/>
      <c r="Z62" s="75"/>
      <c r="AA62" s="57"/>
      <c r="AB62" s="75"/>
      <c r="AC62" s="57"/>
      <c r="AD62" s="75"/>
      <c r="AE62" s="207"/>
      <c r="AF62" s="76"/>
      <c r="AG62" s="57"/>
      <c r="AH62" s="76"/>
      <c r="AI62" s="207"/>
      <c r="AJ62" s="75"/>
      <c r="AK62" s="57"/>
      <c r="AL62" s="75"/>
      <c r="AM62" s="57"/>
      <c r="AN62" s="71">
        <v>0</v>
      </c>
      <c r="AO62" s="71">
        <v>1</v>
      </c>
      <c r="AP62" s="6"/>
      <c r="AQ62" s="10"/>
      <c r="AR62" s="10"/>
      <c r="AS62" s="128"/>
      <c r="AT62" s="20" t="str">
        <f>IF($AL62&gt;=25%,"RESULTADOS FAVORABLES",IF($AL62&lt;12.5%,"ACCIÓN CORRECTIVA",IF($AL62&lt;24%,"OPORTUNIDAD DE MEJORA")))</f>
        <v>ACCIÓN CORRECTIVA</v>
      </c>
    </row>
    <row r="63" spans="1:46" x14ac:dyDescent="0.2">
      <c r="A63" s="384" t="s">
        <v>128</v>
      </c>
      <c r="B63" s="386"/>
      <c r="C63" s="388" t="s">
        <v>269</v>
      </c>
      <c r="D63" s="390" t="s">
        <v>281</v>
      </c>
      <c r="E63" s="360" t="s">
        <v>282</v>
      </c>
      <c r="F63" s="366" t="s">
        <v>283</v>
      </c>
      <c r="G63" s="368" t="s">
        <v>284</v>
      </c>
      <c r="H63" s="475" t="s">
        <v>285</v>
      </c>
      <c r="I63" s="364" t="s">
        <v>51</v>
      </c>
      <c r="J63" s="476" t="s">
        <v>286</v>
      </c>
      <c r="K63" s="477"/>
      <c r="L63" s="353" t="s">
        <v>46</v>
      </c>
      <c r="M63" s="364" t="s">
        <v>275</v>
      </c>
      <c r="N63" s="341" t="s">
        <v>137</v>
      </c>
      <c r="O63" s="341" t="s">
        <v>137</v>
      </c>
      <c r="P63" s="78">
        <f>(85/97)</f>
        <v>0.87628865979381443</v>
      </c>
      <c r="Q63" s="360" t="s">
        <v>662</v>
      </c>
      <c r="R63" s="78">
        <f>(54/68)</f>
        <v>0.79411764705882348</v>
      </c>
      <c r="S63" s="360" t="s">
        <v>663</v>
      </c>
      <c r="T63" s="78">
        <f>(54/68)</f>
        <v>0.79411764705882348</v>
      </c>
      <c r="U63" s="360" t="s">
        <v>663</v>
      </c>
      <c r="V63" s="78"/>
      <c r="W63" s="360"/>
      <c r="X63" s="78"/>
      <c r="Y63" s="360"/>
      <c r="Z63" s="78"/>
      <c r="AA63" s="360"/>
      <c r="AB63" s="78"/>
      <c r="AC63" s="360"/>
      <c r="AD63" s="78"/>
      <c r="AE63" s="362"/>
      <c r="AF63" s="78"/>
      <c r="AG63" s="360"/>
      <c r="AH63" s="76"/>
      <c r="AI63" s="217"/>
      <c r="AJ63" s="76"/>
      <c r="AK63" s="221"/>
      <c r="AL63" s="76"/>
      <c r="AM63" s="221"/>
      <c r="AN63" s="62" t="s">
        <v>673</v>
      </c>
      <c r="AO63" s="288" t="s">
        <v>732</v>
      </c>
      <c r="AP63" s="6"/>
      <c r="AQ63" s="10"/>
      <c r="AR63" s="10"/>
      <c r="AS63" s="128"/>
      <c r="AT63" s="20"/>
    </row>
    <row r="64" spans="1:46" ht="60" customHeight="1" x14ac:dyDescent="0.2">
      <c r="A64" s="385"/>
      <c r="B64" s="387"/>
      <c r="C64" s="389"/>
      <c r="D64" s="391"/>
      <c r="E64" s="361"/>
      <c r="F64" s="367"/>
      <c r="G64" s="369"/>
      <c r="H64" s="478"/>
      <c r="I64" s="365"/>
      <c r="J64" s="371" t="s">
        <v>287</v>
      </c>
      <c r="K64" s="372"/>
      <c r="L64" s="370"/>
      <c r="M64" s="365"/>
      <c r="N64" s="343"/>
      <c r="O64" s="343"/>
      <c r="P64" s="250">
        <f>(12/97)</f>
        <v>0.12371134020618557</v>
      </c>
      <c r="Q64" s="361"/>
      <c r="R64" s="250">
        <f>(14/68)</f>
        <v>0.20588235294117646</v>
      </c>
      <c r="S64" s="361"/>
      <c r="T64" s="250">
        <f>(14/68)</f>
        <v>0.20588235294117646</v>
      </c>
      <c r="U64" s="361"/>
      <c r="V64" s="78"/>
      <c r="W64" s="361"/>
      <c r="X64" s="78"/>
      <c r="Y64" s="361"/>
      <c r="Z64" s="78"/>
      <c r="AA64" s="361"/>
      <c r="AB64" s="78"/>
      <c r="AC64" s="361"/>
      <c r="AD64" s="78"/>
      <c r="AE64" s="363"/>
      <c r="AF64" s="78"/>
      <c r="AG64" s="361"/>
      <c r="AH64" s="76"/>
      <c r="AI64" s="217"/>
      <c r="AJ64" s="76"/>
      <c r="AK64" s="221"/>
      <c r="AL64" s="76"/>
      <c r="AM64" s="221"/>
      <c r="AN64" s="62" t="s">
        <v>673</v>
      </c>
      <c r="AO64" s="288" t="s">
        <v>733</v>
      </c>
      <c r="AP64" s="6"/>
      <c r="AQ64" s="10"/>
      <c r="AR64" s="10"/>
      <c r="AS64" s="128"/>
      <c r="AT64" s="20"/>
    </row>
    <row r="65" spans="1:47" ht="409.5" x14ac:dyDescent="0.2">
      <c r="A65" s="72" t="s">
        <v>128</v>
      </c>
      <c r="B65" s="2"/>
      <c r="C65" s="73" t="s">
        <v>269</v>
      </c>
      <c r="D65" s="4"/>
      <c r="E65" s="50" t="s">
        <v>282</v>
      </c>
      <c r="F65" s="195" t="s">
        <v>288</v>
      </c>
      <c r="G65" s="18" t="s">
        <v>289</v>
      </c>
      <c r="H65" s="57" t="s">
        <v>290</v>
      </c>
      <c r="I65" s="48" t="s">
        <v>44</v>
      </c>
      <c r="J65" s="319" t="s">
        <v>291</v>
      </c>
      <c r="K65" s="320"/>
      <c r="L65" s="52" t="s">
        <v>46</v>
      </c>
      <c r="M65" s="52" t="s">
        <v>275</v>
      </c>
      <c r="N65" s="6" t="s">
        <v>280</v>
      </c>
      <c r="O65" s="6" t="s">
        <v>280</v>
      </c>
      <c r="P65" s="77">
        <f>((15-15)+15/15)</f>
        <v>1</v>
      </c>
      <c r="Q65" s="57" t="s">
        <v>664</v>
      </c>
      <c r="R65" s="125">
        <f>((15-15)+15/15)</f>
        <v>1</v>
      </c>
      <c r="S65" s="50" t="s">
        <v>665</v>
      </c>
      <c r="T65" s="125">
        <f>((15-15)+15/15)</f>
        <v>1</v>
      </c>
      <c r="U65" s="50" t="s">
        <v>666</v>
      </c>
      <c r="V65" s="125"/>
      <c r="W65" s="50"/>
      <c r="X65" s="125"/>
      <c r="Y65" s="50"/>
      <c r="Z65" s="125"/>
      <c r="AA65" s="50"/>
      <c r="AB65" s="125"/>
      <c r="AC65" s="50"/>
      <c r="AD65" s="77"/>
      <c r="AE65" s="207"/>
      <c r="AF65" s="125"/>
      <c r="AG65" s="50"/>
      <c r="AH65" s="125"/>
      <c r="AI65" s="209"/>
      <c r="AJ65" s="125"/>
      <c r="AK65" s="50"/>
      <c r="AL65" s="125"/>
      <c r="AM65" s="50"/>
      <c r="AN65" s="71">
        <v>0</v>
      </c>
      <c r="AO65" s="289" t="s">
        <v>734</v>
      </c>
      <c r="AP65" s="6"/>
      <c r="AQ65" s="10"/>
      <c r="AR65" s="10"/>
      <c r="AS65" s="128"/>
      <c r="AT65" s="20" t="str">
        <f>IF($AL65&gt;=25%,"RESULTADOS FAVORABLES",IF($AL65&lt;12.5%,"ACCIÓN CORRECTIVA",IF($AL65&lt;24%,"OPORTUNIDAD DE MEJORA")))</f>
        <v>ACCIÓN CORRECTIVA</v>
      </c>
    </row>
    <row r="66" spans="1:47" ht="120" x14ac:dyDescent="0.2">
      <c r="A66" s="72" t="s">
        <v>128</v>
      </c>
      <c r="B66" s="2"/>
      <c r="C66" s="73" t="s">
        <v>269</v>
      </c>
      <c r="D66" s="4"/>
      <c r="E66" s="50" t="s">
        <v>292</v>
      </c>
      <c r="F66" s="195" t="s">
        <v>293</v>
      </c>
      <c r="G66" s="18" t="s">
        <v>294</v>
      </c>
      <c r="H66" s="57" t="s">
        <v>295</v>
      </c>
      <c r="I66" s="52" t="s">
        <v>51</v>
      </c>
      <c r="J66" s="319" t="s">
        <v>296</v>
      </c>
      <c r="K66" s="320"/>
      <c r="L66" s="52" t="s">
        <v>46</v>
      </c>
      <c r="M66" s="52" t="s">
        <v>275</v>
      </c>
      <c r="N66" s="6" t="s">
        <v>194</v>
      </c>
      <c r="O66" s="6" t="s">
        <v>194</v>
      </c>
      <c r="P66" s="78">
        <f>(0)*100</f>
        <v>0</v>
      </c>
      <c r="Q66" s="251" t="s">
        <v>667</v>
      </c>
      <c r="R66" s="78">
        <f>(0)*100</f>
        <v>0</v>
      </c>
      <c r="S66" s="251" t="s">
        <v>668</v>
      </c>
      <c r="T66" s="78">
        <f>(0)*100</f>
        <v>0</v>
      </c>
      <c r="U66" s="251" t="s">
        <v>669</v>
      </c>
      <c r="V66" s="75"/>
      <c r="W66" s="79"/>
      <c r="X66" s="78"/>
      <c r="Y66" s="251"/>
      <c r="Z66" s="78"/>
      <c r="AA66" s="251"/>
      <c r="AB66" s="78"/>
      <c r="AC66" s="128"/>
      <c r="AD66" s="78"/>
      <c r="AE66" s="200"/>
      <c r="AF66" s="78"/>
      <c r="AG66" s="128"/>
      <c r="AH66" s="78"/>
      <c r="AI66" s="200"/>
      <c r="AJ66" s="78"/>
      <c r="AK66" s="128"/>
      <c r="AL66" s="75"/>
      <c r="AM66" s="79"/>
      <c r="AN66" s="62" t="s">
        <v>673</v>
      </c>
      <c r="AO66" s="64" t="s">
        <v>674</v>
      </c>
      <c r="AP66" s="6"/>
      <c r="AQ66" s="10"/>
      <c r="AR66" s="10"/>
      <c r="AS66" s="128"/>
      <c r="AT66" s="20" t="str">
        <f t="shared" ref="AT66:AT67" si="1">IF($AL66&gt;=25%,"RESULTADOS FAVORABLES",IF($AL66&lt;12.5%,"ACCIÓN CORRECTIVA",IF($AL66&lt;24%,"OPORTUNIDAD DE MEJORA")))</f>
        <v>ACCIÓN CORRECTIVA</v>
      </c>
    </row>
    <row r="67" spans="1:47" ht="409.5" x14ac:dyDescent="0.2">
      <c r="A67" s="72" t="s">
        <v>128</v>
      </c>
      <c r="B67" s="2"/>
      <c r="C67" s="73" t="s">
        <v>269</v>
      </c>
      <c r="D67" s="4" t="s">
        <v>297</v>
      </c>
      <c r="E67" s="50" t="s">
        <v>292</v>
      </c>
      <c r="F67" s="195" t="s">
        <v>298</v>
      </c>
      <c r="G67" s="18" t="s">
        <v>299</v>
      </c>
      <c r="H67" s="57" t="s">
        <v>300</v>
      </c>
      <c r="I67" s="52" t="s">
        <v>51</v>
      </c>
      <c r="J67" s="319" t="s">
        <v>301</v>
      </c>
      <c r="K67" s="320"/>
      <c r="L67" s="52" t="s">
        <v>46</v>
      </c>
      <c r="M67" s="52" t="s">
        <v>302</v>
      </c>
      <c r="N67" s="6" t="s">
        <v>194</v>
      </c>
      <c r="O67" s="6" t="s">
        <v>194</v>
      </c>
      <c r="P67" s="78">
        <f>(0)*100</f>
        <v>0</v>
      </c>
      <c r="Q67" s="50" t="s">
        <v>670</v>
      </c>
      <c r="R67" s="125">
        <f>(54/54)</f>
        <v>1</v>
      </c>
      <c r="S67" s="252" t="s">
        <v>671</v>
      </c>
      <c r="T67" s="125">
        <f>(3/3)</f>
        <v>1</v>
      </c>
      <c r="U67" s="128" t="s">
        <v>672</v>
      </c>
      <c r="V67" s="78"/>
      <c r="W67" s="252"/>
      <c r="X67" s="78"/>
      <c r="Y67" s="57"/>
      <c r="Z67" s="125"/>
      <c r="AA67" s="50"/>
      <c r="AB67" s="78"/>
      <c r="AC67" s="128"/>
      <c r="AD67" s="78"/>
      <c r="AE67" s="200"/>
      <c r="AF67" s="78"/>
      <c r="AG67" s="128"/>
      <c r="AH67" s="78"/>
      <c r="AI67" s="200"/>
      <c r="AJ67" s="78"/>
      <c r="AK67" s="128"/>
      <c r="AL67" s="75"/>
      <c r="AM67" s="50"/>
      <c r="AN67" s="62" t="s">
        <v>673</v>
      </c>
      <c r="AO67" s="71">
        <v>1</v>
      </c>
      <c r="AP67" s="6"/>
      <c r="AQ67" s="10"/>
      <c r="AR67" s="10"/>
      <c r="AS67" s="128"/>
      <c r="AT67" s="20" t="str">
        <f t="shared" si="1"/>
        <v>ACCIÓN CORRECTIVA</v>
      </c>
    </row>
    <row r="68" spans="1:47" ht="210" x14ac:dyDescent="0.2">
      <c r="A68" s="72" t="s">
        <v>128</v>
      </c>
      <c r="B68" s="229" t="s">
        <v>303</v>
      </c>
      <c r="C68" s="3" t="s">
        <v>304</v>
      </c>
      <c r="D68" s="4" t="s">
        <v>305</v>
      </c>
      <c r="E68" s="4" t="s">
        <v>306</v>
      </c>
      <c r="F68" s="195" t="s">
        <v>307</v>
      </c>
      <c r="G68" s="12" t="s">
        <v>308</v>
      </c>
      <c r="H68" s="5" t="s">
        <v>309</v>
      </c>
      <c r="I68" s="306" t="s">
        <v>51</v>
      </c>
      <c r="J68" s="307" t="s">
        <v>310</v>
      </c>
      <c r="K68" s="308"/>
      <c r="L68" s="306" t="s">
        <v>46</v>
      </c>
      <c r="M68" s="52" t="s">
        <v>311</v>
      </c>
      <c r="N68" s="6" t="s">
        <v>312</v>
      </c>
      <c r="O68" s="6" t="s">
        <v>185</v>
      </c>
      <c r="P68" s="71">
        <f>(38/38)</f>
        <v>1</v>
      </c>
      <c r="Q68" s="5" t="s">
        <v>675</v>
      </c>
      <c r="R68" s="71">
        <f>(53/53)</f>
        <v>1</v>
      </c>
      <c r="S68" s="5" t="s">
        <v>676</v>
      </c>
      <c r="T68" s="71">
        <f>(69/69)</f>
        <v>1</v>
      </c>
      <c r="U68" s="5" t="s">
        <v>677</v>
      </c>
      <c r="V68" s="80"/>
      <c r="W68" s="5"/>
      <c r="X68" s="70"/>
      <c r="Y68" s="5"/>
      <c r="Z68" s="70"/>
      <c r="AA68" s="5"/>
      <c r="AB68" s="70"/>
      <c r="AC68" s="5"/>
      <c r="AD68" s="70"/>
      <c r="AE68" s="22"/>
      <c r="AF68" s="70"/>
      <c r="AG68" s="5"/>
      <c r="AH68" s="78"/>
      <c r="AI68" s="22"/>
      <c r="AJ68" s="78"/>
      <c r="AK68" s="5"/>
      <c r="AL68" s="78"/>
      <c r="AM68" s="5"/>
      <c r="AN68" s="6" t="s">
        <v>682</v>
      </c>
      <c r="AO68" s="6" t="s">
        <v>683</v>
      </c>
      <c r="AP68" s="6"/>
      <c r="AQ68" s="10"/>
      <c r="AR68" s="10"/>
      <c r="AS68" s="128"/>
      <c r="AT68" s="20" t="str">
        <f>IF($AL68&gt;=80%,"RESULTADOS FAVORABLES",IF($AL68&lt;70%,"ACCIÓN CORRECTIVA",IF($AL68&lt;75%,"OPORTUNIDAD DE MEJORA")))</f>
        <v>ACCIÓN CORRECTIVA</v>
      </c>
    </row>
    <row r="69" spans="1:47" ht="270" x14ac:dyDescent="0.2">
      <c r="A69" s="72" t="s">
        <v>128</v>
      </c>
      <c r="B69" s="2"/>
      <c r="C69" s="3" t="s">
        <v>304</v>
      </c>
      <c r="D69" s="4"/>
      <c r="E69" s="4" t="s">
        <v>306</v>
      </c>
      <c r="F69" s="195" t="s">
        <v>313</v>
      </c>
      <c r="G69" s="12" t="s">
        <v>314</v>
      </c>
      <c r="H69" s="5" t="s">
        <v>315</v>
      </c>
      <c r="I69" s="306" t="s">
        <v>51</v>
      </c>
      <c r="J69" s="307" t="s">
        <v>316</v>
      </c>
      <c r="K69" s="308"/>
      <c r="L69" s="306" t="s">
        <v>46</v>
      </c>
      <c r="M69" s="52" t="s">
        <v>311</v>
      </c>
      <c r="N69" s="6" t="s">
        <v>185</v>
      </c>
      <c r="O69" s="6" t="s">
        <v>185</v>
      </c>
      <c r="P69" s="71">
        <f>8/11</f>
        <v>0.72727272727272729</v>
      </c>
      <c r="Q69" s="5" t="s">
        <v>678</v>
      </c>
      <c r="R69" s="71">
        <f>8/11</f>
        <v>0.72727272727272729</v>
      </c>
      <c r="S69" s="5" t="s">
        <v>679</v>
      </c>
      <c r="T69" s="71">
        <f>8/11</f>
        <v>0.72727272727272729</v>
      </c>
      <c r="U69" s="5" t="s">
        <v>680</v>
      </c>
      <c r="V69" s="70"/>
      <c r="W69" s="5"/>
      <c r="X69" s="71"/>
      <c r="Y69" s="5"/>
      <c r="Z69" s="71"/>
      <c r="AA69" s="5"/>
      <c r="AB69" s="71"/>
      <c r="AC69" s="5"/>
      <c r="AD69" s="71"/>
      <c r="AE69" s="22"/>
      <c r="AF69" s="71"/>
      <c r="AG69" s="5"/>
      <c r="AH69" s="71"/>
      <c r="AI69" s="22"/>
      <c r="AJ69" s="71"/>
      <c r="AK69" s="81"/>
      <c r="AL69" s="71"/>
      <c r="AM69" s="4"/>
      <c r="AN69" s="19">
        <v>0</v>
      </c>
      <c r="AO69" s="19" t="s">
        <v>684</v>
      </c>
      <c r="AP69" s="6"/>
      <c r="AQ69" s="10"/>
      <c r="AR69" s="10"/>
      <c r="AS69" s="222"/>
      <c r="AT69" s="11" t="str">
        <f>IF($AL69&gt;=70%,"RESULTADOS FAVORABLES",IF($AL69&lt;60%,"ACCIÓN CORRECTIVA",IF($AL69&lt;65%,"OPORTUNIDAD DE MEJORA")))</f>
        <v>ACCIÓN CORRECTIVA</v>
      </c>
      <c r="AU69" s="479"/>
    </row>
    <row r="70" spans="1:47" ht="375" x14ac:dyDescent="0.2">
      <c r="A70" s="72" t="s">
        <v>128</v>
      </c>
      <c r="B70" s="2"/>
      <c r="C70" s="3" t="s">
        <v>304</v>
      </c>
      <c r="D70" s="4"/>
      <c r="E70" s="4" t="s">
        <v>306</v>
      </c>
      <c r="F70" s="195" t="s">
        <v>317</v>
      </c>
      <c r="G70" s="12" t="s">
        <v>318</v>
      </c>
      <c r="H70" s="5" t="s">
        <v>319</v>
      </c>
      <c r="I70" s="306" t="s">
        <v>51</v>
      </c>
      <c r="J70" s="307" t="s">
        <v>320</v>
      </c>
      <c r="K70" s="308"/>
      <c r="L70" s="306" t="s">
        <v>46</v>
      </c>
      <c r="M70" s="52" t="s">
        <v>311</v>
      </c>
      <c r="N70" s="6" t="s">
        <v>185</v>
      </c>
      <c r="O70" s="6" t="s">
        <v>56</v>
      </c>
      <c r="P70" s="71">
        <f>(48/100)</f>
        <v>0.48</v>
      </c>
      <c r="Q70" s="5" t="s">
        <v>681</v>
      </c>
      <c r="R70" s="71">
        <f>(48/100)</f>
        <v>0.48</v>
      </c>
      <c r="S70" s="82" t="s">
        <v>681</v>
      </c>
      <c r="T70" s="71">
        <f>(48/100)</f>
        <v>0.48</v>
      </c>
      <c r="U70" s="82" t="s">
        <v>681</v>
      </c>
      <c r="V70" s="65"/>
      <c r="W70" s="194"/>
      <c r="X70" s="65"/>
      <c r="Y70" s="196"/>
      <c r="Z70" s="65"/>
      <c r="AA70" s="82"/>
      <c r="AB70" s="65"/>
      <c r="AC70" s="82"/>
      <c r="AD70" s="65"/>
      <c r="AE70" s="201"/>
      <c r="AF70" s="65"/>
      <c r="AG70" s="251"/>
      <c r="AH70" s="65"/>
      <c r="AI70" s="82"/>
      <c r="AJ70" s="65"/>
      <c r="AK70" s="82"/>
      <c r="AL70" s="65"/>
      <c r="AM70" s="82"/>
      <c r="AN70" s="25">
        <v>0.48</v>
      </c>
      <c r="AO70" s="19">
        <v>1</v>
      </c>
      <c r="AP70" s="6"/>
      <c r="AQ70" s="10"/>
      <c r="AR70" s="10"/>
      <c r="AS70" s="50"/>
      <c r="AT70" s="26" t="str">
        <f>IF($AL70&gt;=75%,"RESULTADOS FAVORABLES",IF($AL70&lt;67.5%,"ACCIÓN CORRECTIVA",IF($AL70&lt;70%,"OPORTUNIDAD DE MEJORA")))</f>
        <v>ACCIÓN CORRECTIVA</v>
      </c>
    </row>
    <row r="71" spans="1:47" ht="120" x14ac:dyDescent="0.2">
      <c r="A71" s="72" t="s">
        <v>128</v>
      </c>
      <c r="B71" s="83"/>
      <c r="C71" s="84" t="s">
        <v>304</v>
      </c>
      <c r="D71" s="29"/>
      <c r="E71" s="29" t="s">
        <v>306</v>
      </c>
      <c r="F71" s="299" t="s">
        <v>321</v>
      </c>
      <c r="G71" s="301" t="s">
        <v>322</v>
      </c>
      <c r="H71" s="295" t="s">
        <v>323</v>
      </c>
      <c r="I71" s="292" t="s">
        <v>51</v>
      </c>
      <c r="J71" s="317" t="s">
        <v>324</v>
      </c>
      <c r="K71" s="318"/>
      <c r="L71" s="306" t="s">
        <v>46</v>
      </c>
      <c r="M71" s="52" t="s">
        <v>311</v>
      </c>
      <c r="N71" s="6" t="s">
        <v>194</v>
      </c>
      <c r="O71" s="6" t="s">
        <v>194</v>
      </c>
      <c r="P71" s="71"/>
      <c r="Q71" s="16"/>
      <c r="R71" s="71"/>
      <c r="S71" s="16"/>
      <c r="T71" s="71"/>
      <c r="U71" s="16"/>
      <c r="V71" s="71"/>
      <c r="W71" s="16"/>
      <c r="X71" s="71"/>
      <c r="Y71" s="16"/>
      <c r="Z71" s="70"/>
      <c r="AA71" s="4"/>
      <c r="AB71" s="71"/>
      <c r="AC71" s="16"/>
      <c r="AD71" s="71"/>
      <c r="AE71" s="202"/>
      <c r="AF71" s="71"/>
      <c r="AG71" s="16"/>
      <c r="AH71" s="71"/>
      <c r="AI71" s="202"/>
      <c r="AJ71" s="71"/>
      <c r="AK71" s="16"/>
      <c r="AL71" s="71"/>
      <c r="AM71" s="50"/>
      <c r="AN71" s="85"/>
      <c r="AO71" s="85"/>
      <c r="AP71" s="6"/>
      <c r="AQ71" s="10"/>
      <c r="AR71" s="10"/>
      <c r="AS71" s="128"/>
      <c r="AT71" s="20">
        <v>11</v>
      </c>
    </row>
    <row r="72" spans="1:47" ht="31.5" x14ac:dyDescent="0.2">
      <c r="A72" s="72" t="s">
        <v>128</v>
      </c>
      <c r="B72" s="229" t="s">
        <v>325</v>
      </c>
      <c r="C72" s="3" t="s">
        <v>326</v>
      </c>
      <c r="D72" s="4" t="s">
        <v>327</v>
      </c>
      <c r="E72" s="4" t="s">
        <v>328</v>
      </c>
      <c r="F72" s="195" t="s">
        <v>329</v>
      </c>
      <c r="G72" s="12" t="s">
        <v>330</v>
      </c>
      <c r="H72" s="12" t="s">
        <v>331</v>
      </c>
      <c r="I72" s="306" t="s">
        <v>332</v>
      </c>
      <c r="J72" s="307" t="s">
        <v>333</v>
      </c>
      <c r="K72" s="308"/>
      <c r="L72" s="306" t="s">
        <v>46</v>
      </c>
      <c r="M72" s="52" t="s">
        <v>99</v>
      </c>
      <c r="N72" s="6" t="s">
        <v>194</v>
      </c>
      <c r="O72" s="6" t="s">
        <v>194</v>
      </c>
      <c r="P72" s="70" t="s">
        <v>579</v>
      </c>
      <c r="Q72" s="16" t="s">
        <v>685</v>
      </c>
      <c r="R72" s="70" t="s">
        <v>579</v>
      </c>
      <c r="S72" s="16" t="s">
        <v>685</v>
      </c>
      <c r="T72" s="70" t="s">
        <v>579</v>
      </c>
      <c r="U72" s="16" t="s">
        <v>685</v>
      </c>
      <c r="V72" s="70"/>
      <c r="W72" s="16"/>
      <c r="X72" s="70"/>
      <c r="Y72" s="16"/>
      <c r="Z72" s="70"/>
      <c r="AA72" s="81"/>
      <c r="AB72" s="70"/>
      <c r="AC72" s="16"/>
      <c r="AD72" s="70"/>
      <c r="AE72" s="202"/>
      <c r="AF72" s="70"/>
      <c r="AG72" s="16"/>
      <c r="AH72" s="70"/>
      <c r="AI72" s="202"/>
      <c r="AJ72" s="70"/>
      <c r="AK72" s="16"/>
      <c r="AL72" s="172"/>
      <c r="AM72" s="4"/>
      <c r="AN72" s="19">
        <v>0</v>
      </c>
      <c r="AO72" s="19" t="s">
        <v>702</v>
      </c>
      <c r="AP72" s="6"/>
      <c r="AQ72" s="10"/>
      <c r="AR72" s="10"/>
      <c r="AS72" s="128"/>
      <c r="AT72" s="20" t="str">
        <f>IF($AL72&gt;=25%,"RESULTADOS FAVORABLES",IF($AL72&lt;12.5%,"ACCIÓN CORRECTIVA",IF($AL72&lt;24%,"OPORTUNIDAD DE MEJORA")))</f>
        <v>ACCIÓN CORRECTIVA</v>
      </c>
    </row>
    <row r="73" spans="1:47" ht="31.5" x14ac:dyDescent="0.2">
      <c r="A73" s="72" t="s">
        <v>128</v>
      </c>
      <c r="B73" s="229"/>
      <c r="C73" s="3" t="s">
        <v>326</v>
      </c>
      <c r="D73" s="4"/>
      <c r="E73" s="4" t="s">
        <v>328</v>
      </c>
      <c r="F73" s="195" t="s">
        <v>334</v>
      </c>
      <c r="G73" s="12" t="s">
        <v>335</v>
      </c>
      <c r="H73" s="12" t="s">
        <v>336</v>
      </c>
      <c r="I73" s="306" t="s">
        <v>332</v>
      </c>
      <c r="J73" s="307" t="s">
        <v>337</v>
      </c>
      <c r="K73" s="308"/>
      <c r="L73" s="306" t="s">
        <v>46</v>
      </c>
      <c r="M73" s="52" t="s">
        <v>99</v>
      </c>
      <c r="N73" s="6" t="s">
        <v>194</v>
      </c>
      <c r="O73" s="6" t="s">
        <v>194</v>
      </c>
      <c r="P73" s="70" t="s">
        <v>579</v>
      </c>
      <c r="Q73" s="16" t="s">
        <v>685</v>
      </c>
      <c r="R73" s="70" t="s">
        <v>579</v>
      </c>
      <c r="S73" s="16" t="s">
        <v>685</v>
      </c>
      <c r="T73" s="70" t="s">
        <v>579</v>
      </c>
      <c r="U73" s="16" t="s">
        <v>685</v>
      </c>
      <c r="V73" s="70"/>
      <c r="W73" s="16"/>
      <c r="X73" s="70"/>
      <c r="Y73" s="16"/>
      <c r="Z73" s="70"/>
      <c r="AA73" s="81"/>
      <c r="AB73" s="70"/>
      <c r="AC73" s="16"/>
      <c r="AD73" s="70"/>
      <c r="AE73" s="202"/>
      <c r="AF73" s="70"/>
      <c r="AG73" s="16"/>
      <c r="AH73" s="70"/>
      <c r="AI73" s="202"/>
      <c r="AJ73" s="70"/>
      <c r="AK73" s="16"/>
      <c r="AL73" s="71"/>
      <c r="AM73" s="4"/>
      <c r="AN73" s="19">
        <v>0</v>
      </c>
      <c r="AO73" s="19" t="s">
        <v>702</v>
      </c>
      <c r="AP73" s="6"/>
      <c r="AQ73" s="10"/>
      <c r="AR73" s="10"/>
      <c r="AS73" s="128"/>
      <c r="AT73" s="20" t="str">
        <f>IF($AL73&gt;=25%,"RESULTADOS FAVORABLES",IF($AL73&lt;12.5%,"ACCIÓN CORRECTIVA",IF($AL73&lt;24%,"OPORTUNIDAD DE MEJORA")))</f>
        <v>ACCIÓN CORRECTIVA</v>
      </c>
    </row>
    <row r="74" spans="1:47" ht="315" x14ac:dyDescent="0.2">
      <c r="A74" s="72" t="s">
        <v>128</v>
      </c>
      <c r="B74" s="229"/>
      <c r="C74" s="3" t="s">
        <v>326</v>
      </c>
      <c r="D74" s="4"/>
      <c r="E74" s="4" t="s">
        <v>338</v>
      </c>
      <c r="F74" s="195" t="s">
        <v>339</v>
      </c>
      <c r="G74" s="12" t="s">
        <v>340</v>
      </c>
      <c r="H74" s="12" t="s">
        <v>341</v>
      </c>
      <c r="I74" s="306" t="s">
        <v>332</v>
      </c>
      <c r="J74" s="307" t="s">
        <v>342</v>
      </c>
      <c r="K74" s="308"/>
      <c r="L74" s="306" t="s">
        <v>46</v>
      </c>
      <c r="M74" s="52" t="s">
        <v>99</v>
      </c>
      <c r="N74" s="6" t="s">
        <v>185</v>
      </c>
      <c r="O74" s="6" t="s">
        <v>185</v>
      </c>
      <c r="P74" s="71">
        <f>+'INFORMACIÓN ADICIONAL CI'!E5</f>
        <v>0.19999747366293619</v>
      </c>
      <c r="Q74" s="16" t="s">
        <v>686</v>
      </c>
      <c r="R74" s="71">
        <f>+'INFORMACIÓN ADICIONAL CI'!E6</f>
        <v>0.59999578942936238</v>
      </c>
      <c r="S74" s="16" t="s">
        <v>687</v>
      </c>
      <c r="T74" s="71">
        <f>+'INFORMACIÓN ADICIONAL CI'!E7</f>
        <v>0.81999763154778349</v>
      </c>
      <c r="U74" s="16" t="s">
        <v>688</v>
      </c>
      <c r="V74" s="71"/>
      <c r="W74" s="81"/>
      <c r="X74" s="65"/>
      <c r="Y74" s="81"/>
      <c r="Z74" s="65"/>
      <c r="AA74" s="87"/>
      <c r="AB74" s="88"/>
      <c r="AC74" s="4"/>
      <c r="AD74" s="88"/>
      <c r="AE74" s="54"/>
      <c r="AF74" s="49"/>
      <c r="AG74" s="4"/>
      <c r="AH74" s="76"/>
      <c r="AI74" s="217"/>
      <c r="AJ74" s="76"/>
      <c r="AK74" s="221"/>
      <c r="AL74" s="76"/>
      <c r="AM74" s="221"/>
      <c r="AN74" s="19">
        <v>0</v>
      </c>
      <c r="AO74" s="19" t="s">
        <v>702</v>
      </c>
      <c r="AP74" s="6"/>
      <c r="AQ74" s="10"/>
      <c r="AR74" s="10"/>
      <c r="AS74" s="222"/>
      <c r="AT74" s="26"/>
    </row>
    <row r="75" spans="1:47" ht="90" x14ac:dyDescent="0.2">
      <c r="A75" s="72" t="s">
        <v>128</v>
      </c>
      <c r="B75" s="229"/>
      <c r="C75" s="3" t="s">
        <v>326</v>
      </c>
      <c r="D75" s="4"/>
      <c r="E75" s="4" t="s">
        <v>338</v>
      </c>
      <c r="F75" s="195" t="s">
        <v>343</v>
      </c>
      <c r="G75" s="18" t="s">
        <v>344</v>
      </c>
      <c r="H75" s="5" t="s">
        <v>345</v>
      </c>
      <c r="I75" s="306" t="s">
        <v>332</v>
      </c>
      <c r="J75" s="317" t="s">
        <v>346</v>
      </c>
      <c r="K75" s="318"/>
      <c r="L75" s="306" t="s">
        <v>46</v>
      </c>
      <c r="M75" s="52" t="s">
        <v>99</v>
      </c>
      <c r="N75" s="6" t="s">
        <v>137</v>
      </c>
      <c r="O75" s="6" t="s">
        <v>137</v>
      </c>
      <c r="P75" s="71" t="s">
        <v>579</v>
      </c>
      <c r="Q75" s="16" t="s">
        <v>689</v>
      </c>
      <c r="R75" s="71" t="s">
        <v>579</v>
      </c>
      <c r="S75" s="16" t="s">
        <v>689</v>
      </c>
      <c r="T75" s="70">
        <f>('INFORMACIÓN ADICIONAL CI'!B12/'INFORMACIÓN ADICIONAL CI'!C12)</f>
        <v>0.8</v>
      </c>
      <c r="U75" s="16" t="s">
        <v>690</v>
      </c>
      <c r="V75" s="23"/>
      <c r="W75" s="87"/>
      <c r="X75" s="23"/>
      <c r="Y75" s="87"/>
      <c r="Z75" s="49"/>
      <c r="AA75" s="81"/>
      <c r="AB75" s="86"/>
      <c r="AC75" s="87"/>
      <c r="AD75" s="86"/>
      <c r="AE75" s="203"/>
      <c r="AF75" s="70"/>
      <c r="AG75" s="4"/>
      <c r="AH75" s="71"/>
      <c r="AI75" s="202"/>
      <c r="AJ75" s="71"/>
      <c r="AK75" s="16"/>
      <c r="AL75" s="70"/>
      <c r="AM75" s="4"/>
      <c r="AN75" s="19">
        <v>0</v>
      </c>
      <c r="AO75" s="19" t="s">
        <v>702</v>
      </c>
      <c r="AP75" s="6"/>
      <c r="AQ75" s="10"/>
      <c r="AR75" s="10"/>
      <c r="AS75" s="223"/>
      <c r="AT75" s="20" t="str">
        <f>IF($AL75&gt;=25%,"RESULTADOS FAVORABLES",IF($AL75&lt;12.5%,"ACCIÓN CORRECTIVA",IF($AL75&lt;24%,"OPORTUNIDAD DE MEJORA")))</f>
        <v>ACCIÓN CORRECTIVA</v>
      </c>
    </row>
    <row r="76" spans="1:47" ht="60" x14ac:dyDescent="0.2">
      <c r="A76" s="72" t="s">
        <v>128</v>
      </c>
      <c r="B76" s="231" t="s">
        <v>347</v>
      </c>
      <c r="C76" s="89" t="s">
        <v>348</v>
      </c>
      <c r="D76" s="4"/>
      <c r="E76" s="4" t="s">
        <v>349</v>
      </c>
      <c r="F76" s="227" t="s">
        <v>350</v>
      </c>
      <c r="G76" s="18" t="s">
        <v>351</v>
      </c>
      <c r="H76" s="18" t="s">
        <v>352</v>
      </c>
      <c r="I76" s="90" t="s">
        <v>44</v>
      </c>
      <c r="J76" s="311" t="s">
        <v>353</v>
      </c>
      <c r="K76" s="312"/>
      <c r="L76" s="90" t="s">
        <v>354</v>
      </c>
      <c r="M76" s="90" t="s">
        <v>87</v>
      </c>
      <c r="N76" s="6" t="s">
        <v>48</v>
      </c>
      <c r="O76" s="6" t="s">
        <v>48</v>
      </c>
      <c r="P76" s="91"/>
      <c r="Q76" s="92"/>
      <c r="R76" s="93"/>
      <c r="S76" s="92"/>
      <c r="T76" s="91"/>
      <c r="U76" s="92"/>
      <c r="V76" s="94"/>
      <c r="W76" s="92"/>
      <c r="X76" s="95"/>
      <c r="Y76" s="92"/>
      <c r="Z76" s="95"/>
      <c r="AA76" s="92"/>
      <c r="AB76" s="96"/>
      <c r="AC76" s="92"/>
      <c r="AD76" s="96"/>
      <c r="AE76" s="204"/>
      <c r="AF76" s="90"/>
      <c r="AG76" s="92"/>
      <c r="AH76" s="90"/>
      <c r="AI76" s="204"/>
      <c r="AJ76" s="90"/>
      <c r="AK76" s="92"/>
      <c r="AL76" s="90"/>
      <c r="AM76" s="92"/>
      <c r="AN76" s="6"/>
      <c r="AO76" s="19"/>
      <c r="AP76" s="6"/>
      <c r="AQ76" s="10"/>
      <c r="AR76" s="10"/>
      <c r="AS76" s="128"/>
      <c r="AT76" s="20" t="str">
        <f>IF($AL76&gt;=25%,"RESULTADOS FAVORABLES",IF($AL76&lt;12.5%,"ACCIÓN CORRECTIVA",IF($AL76&lt;24%,"OPORTUNIDAD DE MEJORA")))</f>
        <v>ACCIÓN CORRECTIVA</v>
      </c>
    </row>
    <row r="77" spans="1:47" ht="45" x14ac:dyDescent="0.2">
      <c r="A77" s="72" t="s">
        <v>128</v>
      </c>
      <c r="B77" s="231"/>
      <c r="C77" s="89" t="s">
        <v>348</v>
      </c>
      <c r="D77" s="4"/>
      <c r="E77" s="4" t="s">
        <v>349</v>
      </c>
      <c r="F77" s="227" t="s">
        <v>355</v>
      </c>
      <c r="G77" s="18" t="s">
        <v>356</v>
      </c>
      <c r="H77" s="18" t="s">
        <v>357</v>
      </c>
      <c r="I77" s="90" t="s">
        <v>44</v>
      </c>
      <c r="J77" s="311" t="s">
        <v>358</v>
      </c>
      <c r="K77" s="312"/>
      <c r="L77" s="90" t="s">
        <v>354</v>
      </c>
      <c r="M77" s="90" t="s">
        <v>87</v>
      </c>
      <c r="N77" s="6" t="s">
        <v>48</v>
      </c>
      <c r="O77" s="6" t="s">
        <v>48</v>
      </c>
      <c r="P77" s="91"/>
      <c r="Q77" s="92"/>
      <c r="R77" s="91"/>
      <c r="S77" s="92"/>
      <c r="T77" s="91"/>
      <c r="U77" s="92"/>
      <c r="V77" s="95"/>
      <c r="W77" s="92"/>
      <c r="X77" s="95"/>
      <c r="Y77" s="92"/>
      <c r="Z77" s="95"/>
      <c r="AA77" s="92"/>
      <c r="AB77" s="96"/>
      <c r="AC77" s="92"/>
      <c r="AD77" s="96"/>
      <c r="AE77" s="204"/>
      <c r="AF77" s="90"/>
      <c r="AG77" s="92"/>
      <c r="AH77" s="90"/>
      <c r="AI77" s="204"/>
      <c r="AJ77" s="90"/>
      <c r="AK77" s="92"/>
      <c r="AL77" s="90"/>
      <c r="AM77" s="92"/>
      <c r="AN77" s="6"/>
      <c r="AO77" s="19"/>
      <c r="AP77" s="6"/>
      <c r="AQ77" s="10"/>
      <c r="AR77" s="10"/>
      <c r="AS77" s="128"/>
      <c r="AT77" s="20" t="str">
        <f>IF($AL77&gt;=25%,"RESULTADOS FAVORABLES",IF($AL77&lt;12.5%,"ACCIÓN CORRECTIVA",IF($AL77&lt;24%,"OPORTUNIDAD DE MEJORA")))</f>
        <v>ACCIÓN CORRECTIVA</v>
      </c>
    </row>
    <row r="78" spans="1:47" ht="270" x14ac:dyDescent="0.2">
      <c r="A78" s="97" t="s">
        <v>128</v>
      </c>
      <c r="B78" s="230" t="s">
        <v>359</v>
      </c>
      <c r="C78" s="291" t="s">
        <v>360</v>
      </c>
      <c r="D78" s="305" t="s">
        <v>361</v>
      </c>
      <c r="E78" s="305" t="s">
        <v>362</v>
      </c>
      <c r="F78" s="300" t="s">
        <v>363</v>
      </c>
      <c r="G78" s="296" t="s">
        <v>518</v>
      </c>
      <c r="H78" s="296" t="s">
        <v>43</v>
      </c>
      <c r="I78" s="293" t="s">
        <v>44</v>
      </c>
      <c r="J78" s="307" t="s">
        <v>364</v>
      </c>
      <c r="K78" s="308"/>
      <c r="L78" s="63" t="s">
        <v>162</v>
      </c>
      <c r="M78" s="63" t="s">
        <v>365</v>
      </c>
      <c r="N78" s="6" t="s">
        <v>48</v>
      </c>
      <c r="O78" s="6" t="s">
        <v>48</v>
      </c>
      <c r="P78" s="36">
        <f>63028177/2378130388</f>
        <v>2.6503246969989097E-2</v>
      </c>
      <c r="Q78" s="191" t="s">
        <v>765</v>
      </c>
      <c r="R78" s="8">
        <f>60140044/2057745412</f>
        <v>2.9226183010437445E-2</v>
      </c>
      <c r="S78" s="24" t="s">
        <v>766</v>
      </c>
      <c r="T78" s="8">
        <f>156871973/4015067974</f>
        <v>3.9070813748569432E-2</v>
      </c>
      <c r="U78" s="24" t="s">
        <v>767</v>
      </c>
      <c r="V78" s="74"/>
      <c r="W78" s="5"/>
      <c r="X78" s="74"/>
      <c r="Y78" s="302"/>
      <c r="Z78" s="74"/>
      <c r="AA78" s="302"/>
      <c r="AB78" s="36"/>
      <c r="AC78" s="302"/>
      <c r="AD78" s="36"/>
      <c r="AE78" s="197"/>
      <c r="AF78" s="36"/>
      <c r="AG78" s="302"/>
      <c r="AH78" s="187"/>
      <c r="AI78" s="218"/>
      <c r="AJ78" s="187"/>
      <c r="AK78" s="98"/>
      <c r="AL78" s="187"/>
      <c r="AM78" s="98"/>
      <c r="AN78" s="6" t="s">
        <v>673</v>
      </c>
      <c r="AO78" s="6" t="s">
        <v>730</v>
      </c>
      <c r="AP78" s="6"/>
      <c r="AQ78" s="10"/>
      <c r="AR78" s="10"/>
      <c r="AS78" s="222"/>
      <c r="AT78" s="11" t="str">
        <f>+[1]Hoja1!$AS$10</f>
        <v>OPORTUNIDAD DE MEJORA</v>
      </c>
    </row>
    <row r="79" spans="1:47" ht="90" x14ac:dyDescent="0.2">
      <c r="A79" s="46" t="s">
        <v>128</v>
      </c>
      <c r="B79" s="232"/>
      <c r="C79" s="99" t="s">
        <v>360</v>
      </c>
      <c r="D79" s="54"/>
      <c r="E79" s="4" t="s">
        <v>362</v>
      </c>
      <c r="F79" s="195" t="s">
        <v>366</v>
      </c>
      <c r="G79" s="4" t="s">
        <v>367</v>
      </c>
      <c r="H79" s="92" t="s">
        <v>368</v>
      </c>
      <c r="I79" s="293" t="s">
        <v>51</v>
      </c>
      <c r="J79" s="315" t="s">
        <v>369</v>
      </c>
      <c r="K79" s="316"/>
      <c r="L79" s="63" t="s">
        <v>162</v>
      </c>
      <c r="M79" s="63" t="s">
        <v>365</v>
      </c>
      <c r="N79" s="6" t="s">
        <v>209</v>
      </c>
      <c r="O79" s="6" t="s">
        <v>209</v>
      </c>
      <c r="P79" s="70"/>
      <c r="Q79" s="16"/>
      <c r="R79" s="70"/>
      <c r="S79" s="16"/>
      <c r="T79" s="70"/>
      <c r="U79" s="16"/>
      <c r="V79" s="70"/>
      <c r="W79" s="16"/>
      <c r="X79" s="70"/>
      <c r="Y79" s="16"/>
      <c r="Z79" s="70"/>
      <c r="AA79" s="16"/>
      <c r="AB79" s="87"/>
      <c r="AC79" s="87"/>
      <c r="AD79" s="87"/>
      <c r="AE79" s="203"/>
      <c r="AF79" s="42"/>
      <c r="AG79" s="87"/>
      <c r="AH79" s="87"/>
      <c r="AI79" s="203"/>
      <c r="AJ79" s="87"/>
      <c r="AK79" s="100"/>
      <c r="AL79" s="71"/>
      <c r="AM79" s="18"/>
      <c r="AN79" s="71"/>
      <c r="AO79" s="62"/>
      <c r="AP79" s="6"/>
      <c r="AQ79" s="10"/>
      <c r="AR79" s="10"/>
      <c r="AS79" s="222"/>
      <c r="AT79" s="20" t="str">
        <f>IF($AL79&gt;=25%,"RESULTADOS FAVORABLES",IF($AL79&lt;12.5%,"ACCIÓN CORRECTIVA",IF($AL79&lt;24%,"OPORTUNIDAD DE MEJORA")))</f>
        <v>ACCIÓN CORRECTIVA</v>
      </c>
    </row>
    <row r="80" spans="1:47" ht="90" x14ac:dyDescent="0.2">
      <c r="A80" s="46" t="s">
        <v>128</v>
      </c>
      <c r="B80" s="232"/>
      <c r="C80" s="99" t="s">
        <v>360</v>
      </c>
      <c r="D80" s="101"/>
      <c r="E80" s="4" t="s">
        <v>362</v>
      </c>
      <c r="F80" s="195" t="s">
        <v>370</v>
      </c>
      <c r="G80" s="4" t="s">
        <v>367</v>
      </c>
      <c r="H80" s="92" t="s">
        <v>371</v>
      </c>
      <c r="I80" s="293" t="s">
        <v>51</v>
      </c>
      <c r="J80" s="315" t="s">
        <v>369</v>
      </c>
      <c r="K80" s="316"/>
      <c r="L80" s="63" t="s">
        <v>162</v>
      </c>
      <c r="M80" s="63" t="s">
        <v>365</v>
      </c>
      <c r="N80" s="6" t="s">
        <v>209</v>
      </c>
      <c r="O80" s="6" t="s">
        <v>209</v>
      </c>
      <c r="P80" s="70"/>
      <c r="Q80" s="16"/>
      <c r="R80" s="70"/>
      <c r="S80" s="16"/>
      <c r="T80" s="70"/>
      <c r="U80" s="16"/>
      <c r="V80" s="70"/>
      <c r="W80" s="16"/>
      <c r="X80" s="70"/>
      <c r="Y80" s="16"/>
      <c r="Z80" s="70"/>
      <c r="AA80" s="16"/>
      <c r="AB80" s="87"/>
      <c r="AC80" s="87"/>
      <c r="AD80" s="87"/>
      <c r="AE80" s="203"/>
      <c r="AF80" s="42"/>
      <c r="AG80" s="87"/>
      <c r="AH80" s="87"/>
      <c r="AI80" s="203"/>
      <c r="AJ80" s="87"/>
      <c r="AK80" s="100"/>
      <c r="AL80" s="71"/>
      <c r="AM80" s="18"/>
      <c r="AN80" s="71"/>
      <c r="AO80" s="62"/>
      <c r="AP80" s="6"/>
      <c r="AQ80" s="10"/>
      <c r="AR80" s="10"/>
      <c r="AS80" s="222"/>
      <c r="AT80" s="20" t="str">
        <f>IF($AL80&gt;=25%,"RESULTADOS FAVORABLES",IF($AL80&lt;12.5%,"ACCIÓN CORRECTIVA",IF($AL80&lt;24%,"OPORTUNIDAD DE MEJORA")))</f>
        <v>ACCIÓN CORRECTIVA</v>
      </c>
    </row>
    <row r="81" spans="1:46" ht="270" x14ac:dyDescent="0.2">
      <c r="A81" s="46" t="s">
        <v>128</v>
      </c>
      <c r="B81" s="232"/>
      <c r="C81" s="99" t="s">
        <v>360</v>
      </c>
      <c r="D81" s="101"/>
      <c r="E81" s="4" t="s">
        <v>362</v>
      </c>
      <c r="F81" s="195" t="s">
        <v>372</v>
      </c>
      <c r="G81" s="4" t="s">
        <v>373</v>
      </c>
      <c r="H81" s="92" t="s">
        <v>374</v>
      </c>
      <c r="I81" s="293" t="s">
        <v>51</v>
      </c>
      <c r="J81" s="315" t="s">
        <v>375</v>
      </c>
      <c r="K81" s="316"/>
      <c r="L81" s="63" t="s">
        <v>162</v>
      </c>
      <c r="M81" s="63" t="s">
        <v>365</v>
      </c>
      <c r="N81" s="6" t="s">
        <v>48</v>
      </c>
      <c r="O81" s="6" t="s">
        <v>48</v>
      </c>
      <c r="P81" s="78">
        <f>(21/21)</f>
        <v>1</v>
      </c>
      <c r="Q81" s="50" t="s">
        <v>704</v>
      </c>
      <c r="R81" s="78">
        <f>(35/35)</f>
        <v>1</v>
      </c>
      <c r="S81" s="50" t="s">
        <v>705</v>
      </c>
      <c r="T81" s="78">
        <f>(104/104)</f>
        <v>1</v>
      </c>
      <c r="U81" s="50" t="s">
        <v>706</v>
      </c>
      <c r="V81" s="78"/>
      <c r="W81" s="50"/>
      <c r="X81" s="78"/>
      <c r="Y81" s="50"/>
      <c r="Z81" s="78"/>
      <c r="AA81" s="50"/>
      <c r="AB81" s="78"/>
      <c r="AC81" s="50"/>
      <c r="AD81" s="78"/>
      <c r="AE81" s="209"/>
      <c r="AF81" s="78"/>
      <c r="AG81" s="50"/>
      <c r="AH81" s="87"/>
      <c r="AI81" s="203"/>
      <c r="AJ81" s="87"/>
      <c r="AK81" s="100"/>
      <c r="AL81" s="71"/>
      <c r="AM81" s="18"/>
      <c r="AN81" s="125">
        <v>1</v>
      </c>
      <c r="AO81" s="126" t="s">
        <v>707</v>
      </c>
      <c r="AP81" s="6"/>
      <c r="AQ81" s="10"/>
      <c r="AR81" s="10"/>
      <c r="AS81" s="222"/>
      <c r="AT81" s="20" t="str">
        <f>IF($AL81&gt;=25%,"RESULTADOS FAVORABLES",IF($AL81&lt;12.5%,"ACCIÓN CORRECTIVA",IF($AL81&lt;24%,"OPORTUNIDAD DE MEJORA")))</f>
        <v>ACCIÓN CORRECTIVA</v>
      </c>
    </row>
    <row r="82" spans="1:46" ht="165" x14ac:dyDescent="0.2">
      <c r="A82" s="46" t="s">
        <v>128</v>
      </c>
      <c r="B82" s="229" t="s">
        <v>376</v>
      </c>
      <c r="C82" s="89" t="s">
        <v>377</v>
      </c>
      <c r="D82" s="4"/>
      <c r="E82" s="4" t="s">
        <v>378</v>
      </c>
      <c r="F82" s="227" t="s">
        <v>379</v>
      </c>
      <c r="G82" s="18" t="s">
        <v>380</v>
      </c>
      <c r="H82" s="103" t="s">
        <v>381</v>
      </c>
      <c r="I82" s="90" t="s">
        <v>44</v>
      </c>
      <c r="J82" s="311" t="s">
        <v>382</v>
      </c>
      <c r="K82" s="312"/>
      <c r="L82" s="90" t="s">
        <v>383</v>
      </c>
      <c r="M82" s="90" t="s">
        <v>87</v>
      </c>
      <c r="N82" s="6" t="s">
        <v>48</v>
      </c>
      <c r="O82" s="6" t="s">
        <v>48</v>
      </c>
      <c r="P82" s="104">
        <f>[2]Hoja1!$F$15</f>
        <v>511.274</v>
      </c>
      <c r="Q82" s="105" t="s">
        <v>708</v>
      </c>
      <c r="R82" s="104">
        <f>[2]Hoja1!$F$16</f>
        <v>-307.15100000000007</v>
      </c>
      <c r="S82" s="105" t="s">
        <v>709</v>
      </c>
      <c r="T82" s="106">
        <f>[2]Hoja1!$F$17</f>
        <v>-263.02400000000011</v>
      </c>
      <c r="U82" s="105" t="s">
        <v>710</v>
      </c>
      <c r="V82" s="106"/>
      <c r="W82" s="105"/>
      <c r="X82" s="106"/>
      <c r="Y82" s="105"/>
      <c r="Z82" s="106"/>
      <c r="AA82" s="105"/>
      <c r="AB82" s="107"/>
      <c r="AC82" s="105"/>
      <c r="AD82" s="107"/>
      <c r="AE82" s="205"/>
      <c r="AF82" s="107"/>
      <c r="AG82" s="105"/>
      <c r="AH82" s="107"/>
      <c r="AI82" s="219"/>
      <c r="AJ82" s="168"/>
      <c r="AK82" s="108"/>
      <c r="AL82" s="107"/>
      <c r="AM82" s="108"/>
      <c r="AN82" s="102" t="s">
        <v>720</v>
      </c>
      <c r="AO82" s="90" t="s">
        <v>722</v>
      </c>
      <c r="AP82" s="6"/>
      <c r="AQ82" s="10"/>
      <c r="AR82" s="10"/>
      <c r="AS82" s="222"/>
      <c r="AT82" s="26" t="str">
        <f>+'INFORMACIÓN ADICIONAL'!F17</f>
        <v>ACCIÓN CORRECTIVA</v>
      </c>
    </row>
    <row r="83" spans="1:46" ht="105" x14ac:dyDescent="0.2">
      <c r="A83" s="46" t="s">
        <v>128</v>
      </c>
      <c r="B83" s="355"/>
      <c r="C83" s="89" t="s">
        <v>377</v>
      </c>
      <c r="D83" s="4"/>
      <c r="E83" s="4" t="s">
        <v>378</v>
      </c>
      <c r="F83" s="227" t="s">
        <v>384</v>
      </c>
      <c r="G83" s="18" t="s">
        <v>385</v>
      </c>
      <c r="H83" s="103" t="s">
        <v>508</v>
      </c>
      <c r="I83" s="90" t="s">
        <v>44</v>
      </c>
      <c r="J83" s="311" t="s">
        <v>386</v>
      </c>
      <c r="K83" s="312"/>
      <c r="L83" s="90" t="s">
        <v>127</v>
      </c>
      <c r="M83" s="90" t="s">
        <v>87</v>
      </c>
      <c r="N83" s="6" t="s">
        <v>48</v>
      </c>
      <c r="O83" s="6" t="s">
        <v>48</v>
      </c>
      <c r="P83" s="109">
        <f>0/447654</f>
        <v>0</v>
      </c>
      <c r="Q83" s="57" t="s">
        <v>711</v>
      </c>
      <c r="R83" s="109">
        <f>0/814954</f>
        <v>0</v>
      </c>
      <c r="S83" s="92" t="s">
        <v>712</v>
      </c>
      <c r="T83" s="110">
        <f>0/199042</f>
        <v>0</v>
      </c>
      <c r="U83" s="92" t="s">
        <v>713</v>
      </c>
      <c r="V83" s="110"/>
      <c r="W83" s="111"/>
      <c r="X83" s="110"/>
      <c r="Y83" s="111"/>
      <c r="Z83" s="110"/>
      <c r="AA83" s="111"/>
      <c r="AB83" s="110"/>
      <c r="AC83" s="111"/>
      <c r="AD83" s="110"/>
      <c r="AE83" s="206"/>
      <c r="AF83" s="110"/>
      <c r="AG83" s="111"/>
      <c r="AH83" s="109"/>
      <c r="AI83" s="204"/>
      <c r="AJ83" s="109"/>
      <c r="AK83" s="92"/>
      <c r="AL83" s="109"/>
      <c r="AM83" s="92"/>
      <c r="AN83" s="102" t="s">
        <v>720</v>
      </c>
      <c r="AO83" s="90" t="s">
        <v>722</v>
      </c>
      <c r="AP83" s="6"/>
      <c r="AQ83" s="10"/>
      <c r="AR83" s="10"/>
      <c r="AS83" s="222"/>
      <c r="AT83" s="181" t="str">
        <f>+'INFORMACIÓN ADICIONAL'!L17</f>
        <v>ACCIÓN CORRECTIVA</v>
      </c>
    </row>
    <row r="84" spans="1:46" ht="210" x14ac:dyDescent="0.2">
      <c r="A84" s="46" t="s">
        <v>128</v>
      </c>
      <c r="B84" s="356"/>
      <c r="C84" s="89" t="s">
        <v>377</v>
      </c>
      <c r="D84" s="4"/>
      <c r="E84" s="4" t="s">
        <v>378</v>
      </c>
      <c r="F84" s="227" t="s">
        <v>387</v>
      </c>
      <c r="G84" s="18" t="s">
        <v>388</v>
      </c>
      <c r="H84" s="103" t="s">
        <v>512</v>
      </c>
      <c r="I84" s="90" t="s">
        <v>44</v>
      </c>
      <c r="J84" s="311" t="s">
        <v>389</v>
      </c>
      <c r="K84" s="312"/>
      <c r="L84" s="90" t="s">
        <v>383</v>
      </c>
      <c r="M84" s="90" t="s">
        <v>87</v>
      </c>
      <c r="N84" s="6" t="s">
        <v>48</v>
      </c>
      <c r="O84" s="6" t="s">
        <v>48</v>
      </c>
      <c r="P84" s="90">
        <f>7.375-11.118</f>
        <v>-3.7430000000000003</v>
      </c>
      <c r="Q84" s="92" t="s">
        <v>714</v>
      </c>
      <c r="R84" s="106">
        <f>14.275-7.375</f>
        <v>6.9</v>
      </c>
      <c r="S84" s="57" t="s">
        <v>715</v>
      </c>
      <c r="T84" s="106">
        <f>8.393-14.275</f>
        <v>-5.8819999999999997</v>
      </c>
      <c r="U84" s="57" t="s">
        <v>716</v>
      </c>
      <c r="V84" s="106"/>
      <c r="W84" s="57"/>
      <c r="X84" s="106"/>
      <c r="Y84" s="57"/>
      <c r="Z84" s="106"/>
      <c r="AA84" s="57"/>
      <c r="AB84" s="106"/>
      <c r="AC84" s="57"/>
      <c r="AD84" s="106"/>
      <c r="AE84" s="207"/>
      <c r="AF84" s="106"/>
      <c r="AG84" s="57"/>
      <c r="AH84" s="90"/>
      <c r="AI84" s="207"/>
      <c r="AJ84" s="90"/>
      <c r="AK84" s="57"/>
      <c r="AL84" s="90"/>
      <c r="AM84" s="57"/>
      <c r="AN84" s="102" t="s">
        <v>720</v>
      </c>
      <c r="AO84" s="90" t="s">
        <v>721</v>
      </c>
      <c r="AP84" s="6"/>
      <c r="AQ84" s="10"/>
      <c r="AR84" s="10"/>
      <c r="AS84" s="50"/>
      <c r="AT84" s="20" t="str">
        <f>+'INFORMACIÓN ADICIONAL'!R17</f>
        <v>RESULTADOS FAVORABLES</v>
      </c>
    </row>
    <row r="85" spans="1:46" ht="225" x14ac:dyDescent="0.2">
      <c r="A85" s="46" t="s">
        <v>128</v>
      </c>
      <c r="B85" s="356"/>
      <c r="C85" s="89" t="s">
        <v>377</v>
      </c>
      <c r="D85" s="4"/>
      <c r="E85" s="4" t="s">
        <v>378</v>
      </c>
      <c r="F85" s="227" t="s">
        <v>390</v>
      </c>
      <c r="G85" s="18" t="s">
        <v>391</v>
      </c>
      <c r="H85" s="103" t="s">
        <v>392</v>
      </c>
      <c r="I85" s="90" t="s">
        <v>44</v>
      </c>
      <c r="J85" s="311" t="s">
        <v>393</v>
      </c>
      <c r="K85" s="312"/>
      <c r="L85" s="90" t="s">
        <v>394</v>
      </c>
      <c r="M85" s="90" t="s">
        <v>87</v>
      </c>
      <c r="N85" s="6" t="s">
        <v>48</v>
      </c>
      <c r="O85" s="6" t="s">
        <v>48</v>
      </c>
      <c r="P85" s="90">
        <f>118.55-21.62</f>
        <v>96.929999999999993</v>
      </c>
      <c r="Q85" s="92" t="s">
        <v>717</v>
      </c>
      <c r="R85" s="90">
        <f>255.05-118.55</f>
        <v>136.5</v>
      </c>
      <c r="S85" s="92" t="s">
        <v>718</v>
      </c>
      <c r="T85" s="106">
        <f>17.06-255.05</f>
        <v>-237.99</v>
      </c>
      <c r="U85" s="92" t="s">
        <v>719</v>
      </c>
      <c r="V85" s="106"/>
      <c r="W85" s="92"/>
      <c r="X85" s="106"/>
      <c r="Y85" s="92"/>
      <c r="Z85" s="106"/>
      <c r="AA85" s="92"/>
      <c r="AB85" s="106"/>
      <c r="AC85" s="92"/>
      <c r="AD85" s="106"/>
      <c r="AE85" s="207"/>
      <c r="AF85" s="106"/>
      <c r="AG85" s="57"/>
      <c r="AH85" s="90"/>
      <c r="AI85" s="207"/>
      <c r="AJ85" s="90"/>
      <c r="AK85" s="57"/>
      <c r="AL85" s="90"/>
      <c r="AM85" s="57"/>
      <c r="AN85" s="102" t="s">
        <v>720</v>
      </c>
      <c r="AO85" s="90" t="s">
        <v>722</v>
      </c>
      <c r="AP85" s="6"/>
      <c r="AQ85" s="10"/>
      <c r="AR85" s="10"/>
      <c r="AS85" s="222"/>
      <c r="AT85" s="26" t="str">
        <f>+'INFORMACIÓN ADICIONAL'!X17</f>
        <v>ACCIÓN CORRECTIVA</v>
      </c>
    </row>
    <row r="86" spans="1:46" ht="255" x14ac:dyDescent="0.2">
      <c r="A86" s="72" t="s">
        <v>395</v>
      </c>
      <c r="B86" s="229" t="s">
        <v>396</v>
      </c>
      <c r="C86" s="112" t="s">
        <v>397</v>
      </c>
      <c r="D86" s="4" t="s">
        <v>398</v>
      </c>
      <c r="E86" s="4" t="s">
        <v>399</v>
      </c>
      <c r="F86" s="227" t="s">
        <v>400</v>
      </c>
      <c r="G86" s="5" t="s">
        <v>519</v>
      </c>
      <c r="H86" s="5" t="s">
        <v>401</v>
      </c>
      <c r="I86" s="306" t="s">
        <v>44</v>
      </c>
      <c r="J86" s="311" t="s">
        <v>402</v>
      </c>
      <c r="K86" s="312"/>
      <c r="L86" s="90" t="s">
        <v>162</v>
      </c>
      <c r="M86" s="90" t="s">
        <v>403</v>
      </c>
      <c r="N86" s="90" t="s">
        <v>48</v>
      </c>
      <c r="O86" s="90" t="s">
        <v>48</v>
      </c>
      <c r="P86" s="36">
        <f>33204365/2378130388</f>
        <v>1.3962382032351374E-2</v>
      </c>
      <c r="Q86" s="191" t="s">
        <v>768</v>
      </c>
      <c r="R86" s="8">
        <f>31001245/2057745412</f>
        <v>1.5065636798027762E-2</v>
      </c>
      <c r="S86" s="24" t="s">
        <v>769</v>
      </c>
      <c r="T86" s="8">
        <f>82684474/4015067974</f>
        <v>2.0593542758287557E-2</v>
      </c>
      <c r="U86" s="24" t="s">
        <v>770</v>
      </c>
      <c r="V86" s="113"/>
      <c r="W86" s="5"/>
      <c r="X86" s="113"/>
      <c r="Y86" s="5"/>
      <c r="Z86" s="113"/>
      <c r="AA86" s="5"/>
      <c r="AB86" s="36"/>
      <c r="AC86" s="5"/>
      <c r="AD86" s="36"/>
      <c r="AE86" s="22"/>
      <c r="AF86" s="36"/>
      <c r="AG86" s="5"/>
      <c r="AH86" s="189"/>
      <c r="AI86" s="204"/>
      <c r="AJ86" s="189"/>
      <c r="AK86" s="92"/>
      <c r="AL86" s="189"/>
      <c r="AM86" s="92"/>
      <c r="AN86" s="6" t="s">
        <v>673</v>
      </c>
      <c r="AO86" s="6" t="s">
        <v>730</v>
      </c>
      <c r="AP86" s="6"/>
      <c r="AQ86" s="10"/>
      <c r="AR86" s="10"/>
      <c r="AS86" s="50"/>
      <c r="AT86" s="20" t="str">
        <f>+[1]Hoja1!$AS$14</f>
        <v>RESULTADOS FAVORABLES</v>
      </c>
    </row>
    <row r="87" spans="1:46" ht="135" x14ac:dyDescent="0.2">
      <c r="A87" s="72" t="s">
        <v>395</v>
      </c>
      <c r="B87" s="2"/>
      <c r="C87" s="112" t="s">
        <v>397</v>
      </c>
      <c r="D87" s="4"/>
      <c r="E87" s="4" t="s">
        <v>399</v>
      </c>
      <c r="F87" s="227" t="s">
        <v>404</v>
      </c>
      <c r="G87" s="18" t="s">
        <v>405</v>
      </c>
      <c r="H87" s="92" t="s">
        <v>406</v>
      </c>
      <c r="I87" s="90" t="s">
        <v>51</v>
      </c>
      <c r="J87" s="311" t="s">
        <v>407</v>
      </c>
      <c r="K87" s="312"/>
      <c r="L87" s="90" t="s">
        <v>162</v>
      </c>
      <c r="M87" s="90" t="s">
        <v>403</v>
      </c>
      <c r="N87" s="90" t="s">
        <v>408</v>
      </c>
      <c r="O87" s="90" t="s">
        <v>137</v>
      </c>
      <c r="P87" s="21">
        <v>0</v>
      </c>
      <c r="Q87" s="92"/>
      <c r="R87" s="21">
        <v>0</v>
      </c>
      <c r="S87" s="92"/>
      <c r="T87" s="116">
        <v>0</v>
      </c>
      <c r="U87" s="92"/>
      <c r="V87" s="28"/>
      <c r="W87" s="18"/>
      <c r="X87" s="28"/>
      <c r="Y87" s="18"/>
      <c r="Z87" s="28"/>
      <c r="AA87" s="18"/>
      <c r="AB87" s="28"/>
      <c r="AC87" s="18"/>
      <c r="AD87" s="114"/>
      <c r="AE87" s="204"/>
      <c r="AF87" s="114"/>
      <c r="AG87" s="92"/>
      <c r="AH87" s="116"/>
      <c r="AI87" s="204"/>
      <c r="AJ87" s="116"/>
      <c r="AK87" s="92"/>
      <c r="AL87" s="116"/>
      <c r="AM87" s="57"/>
      <c r="AN87" s="114"/>
      <c r="AO87" s="114"/>
      <c r="AP87" s="6"/>
      <c r="AQ87" s="10"/>
      <c r="AR87" s="10"/>
      <c r="AS87" s="50"/>
      <c r="AT87" s="20" t="s">
        <v>119</v>
      </c>
    </row>
    <row r="88" spans="1:46" ht="60" x14ac:dyDescent="0.2">
      <c r="A88" s="72" t="s">
        <v>395</v>
      </c>
      <c r="B88" s="115"/>
      <c r="C88" s="112" t="s">
        <v>397</v>
      </c>
      <c r="D88" s="4"/>
      <c r="E88" s="4" t="s">
        <v>399</v>
      </c>
      <c r="F88" s="227" t="s">
        <v>409</v>
      </c>
      <c r="G88" s="18" t="s">
        <v>410</v>
      </c>
      <c r="H88" s="92" t="s">
        <v>411</v>
      </c>
      <c r="I88" s="90" t="s">
        <v>51</v>
      </c>
      <c r="J88" s="311" t="s">
        <v>412</v>
      </c>
      <c r="K88" s="312"/>
      <c r="L88" s="90" t="s">
        <v>162</v>
      </c>
      <c r="M88" s="90" t="s">
        <v>403</v>
      </c>
      <c r="N88" s="90" t="s">
        <v>194</v>
      </c>
      <c r="O88" s="90" t="s">
        <v>194</v>
      </c>
      <c r="P88" s="114" t="s">
        <v>579</v>
      </c>
      <c r="Q88" s="90" t="s">
        <v>579</v>
      </c>
      <c r="R88" s="114" t="s">
        <v>579</v>
      </c>
      <c r="S88" s="90" t="s">
        <v>579</v>
      </c>
      <c r="T88" s="114" t="s">
        <v>579</v>
      </c>
      <c r="U88" s="90" t="s">
        <v>579</v>
      </c>
      <c r="V88" s="24"/>
      <c r="W88" s="57"/>
      <c r="X88" s="24"/>
      <c r="Y88" s="57"/>
      <c r="Z88" s="24"/>
      <c r="AA88" s="57"/>
      <c r="AB88" s="24"/>
      <c r="AC88" s="57"/>
      <c r="AD88" s="116"/>
      <c r="AE88" s="204"/>
      <c r="AF88" s="114"/>
      <c r="AG88" s="92"/>
      <c r="AH88" s="28"/>
      <c r="AI88" s="204"/>
      <c r="AJ88" s="28"/>
      <c r="AK88" s="92"/>
      <c r="AL88" s="28"/>
      <c r="AM88" s="57"/>
      <c r="AN88" s="114"/>
      <c r="AO88" s="114"/>
      <c r="AP88" s="6"/>
      <c r="AQ88" s="10"/>
      <c r="AR88" s="10"/>
      <c r="AS88" s="128"/>
      <c r="AT88" s="20" t="str">
        <f>IF($AL88&gt;=25%,"RESULTADOS FAVORABLES",IF($AL88&lt;12.5%,"ACCIÓN CORRECTIVA",IF($AL88&lt;24%,"OPORTUNIDAD DE MEJORA")))</f>
        <v>ACCIÓN CORRECTIVA</v>
      </c>
    </row>
    <row r="89" spans="1:46" ht="60" x14ac:dyDescent="0.2">
      <c r="A89" s="72" t="s">
        <v>395</v>
      </c>
      <c r="B89" s="115"/>
      <c r="C89" s="112" t="s">
        <v>397</v>
      </c>
      <c r="D89" s="4"/>
      <c r="E89" s="4" t="s">
        <v>399</v>
      </c>
      <c r="F89" s="227" t="s">
        <v>413</v>
      </c>
      <c r="G89" s="5" t="s">
        <v>414</v>
      </c>
      <c r="H89" s="92" t="s">
        <v>509</v>
      </c>
      <c r="I89" s="90" t="s">
        <v>51</v>
      </c>
      <c r="J89" s="311" t="s">
        <v>412</v>
      </c>
      <c r="K89" s="312"/>
      <c r="L89" s="90" t="s">
        <v>162</v>
      </c>
      <c r="M89" s="90" t="s">
        <v>403</v>
      </c>
      <c r="N89" s="90" t="s">
        <v>209</v>
      </c>
      <c r="O89" s="90" t="s">
        <v>209</v>
      </c>
      <c r="P89" s="114" t="s">
        <v>579</v>
      </c>
      <c r="Q89" s="90" t="s">
        <v>579</v>
      </c>
      <c r="R89" s="114" t="s">
        <v>579</v>
      </c>
      <c r="S89" s="90" t="s">
        <v>579</v>
      </c>
      <c r="T89" s="114" t="s">
        <v>579</v>
      </c>
      <c r="U89" s="90" t="s">
        <v>579</v>
      </c>
      <c r="V89" s="28"/>
      <c r="W89" s="57"/>
      <c r="X89" s="28"/>
      <c r="Y89" s="57"/>
      <c r="Z89" s="28"/>
      <c r="AA89" s="57"/>
      <c r="AB89" s="28"/>
      <c r="AC89" s="57"/>
      <c r="AD89" s="28"/>
      <c r="AE89" s="207"/>
      <c r="AF89" s="28"/>
      <c r="AG89" s="57"/>
      <c r="AH89" s="28"/>
      <c r="AI89" s="207"/>
      <c r="AJ89" s="28"/>
      <c r="AK89" s="57"/>
      <c r="AL89" s="28"/>
      <c r="AM89" s="243"/>
      <c r="AN89" s="114"/>
      <c r="AO89" s="114"/>
      <c r="AP89" s="6"/>
      <c r="AQ89" s="10"/>
      <c r="AR89" s="10"/>
      <c r="AS89" s="128"/>
      <c r="AT89" s="20" t="str">
        <f>IF($AL89&gt;=25%,"RESULTADOS FAVORABLES",IF($AL89&lt;12.5%,"ACCIÓN CORRECTIVA",IF($AL89&lt;24%,"OPORTUNIDAD DE MEJORA")))</f>
        <v>ACCIÓN CORRECTIVA</v>
      </c>
    </row>
    <row r="90" spans="1:46" ht="120" x14ac:dyDescent="0.2">
      <c r="A90" s="72" t="s">
        <v>395</v>
      </c>
      <c r="B90" s="115"/>
      <c r="C90" s="112" t="s">
        <v>397</v>
      </c>
      <c r="D90" s="4"/>
      <c r="E90" s="4" t="s">
        <v>399</v>
      </c>
      <c r="F90" s="227" t="s">
        <v>415</v>
      </c>
      <c r="G90" s="18" t="s">
        <v>416</v>
      </c>
      <c r="H90" s="92" t="s">
        <v>417</v>
      </c>
      <c r="I90" s="90" t="s">
        <v>51</v>
      </c>
      <c r="J90" s="311" t="s">
        <v>418</v>
      </c>
      <c r="K90" s="312"/>
      <c r="L90" s="90" t="s">
        <v>162</v>
      </c>
      <c r="M90" s="90" t="s">
        <v>403</v>
      </c>
      <c r="N90" s="90" t="s">
        <v>48</v>
      </c>
      <c r="O90" s="90" t="s">
        <v>48</v>
      </c>
      <c r="P90" s="116"/>
      <c r="Q90" s="117"/>
      <c r="R90" s="116"/>
      <c r="S90" s="117"/>
      <c r="T90" s="116"/>
      <c r="U90" s="117"/>
      <c r="V90" s="24"/>
      <c r="W90" s="50"/>
      <c r="X90" s="24"/>
      <c r="Y90" s="50"/>
      <c r="Z90" s="24"/>
      <c r="AA90" s="50"/>
      <c r="AB90" s="78"/>
      <c r="AC90" s="50"/>
      <c r="AD90" s="118"/>
      <c r="AE90" s="208"/>
      <c r="AF90" s="118"/>
      <c r="AG90" s="117"/>
      <c r="AH90" s="118"/>
      <c r="AI90" s="208"/>
      <c r="AJ90" s="118"/>
      <c r="AK90" s="117"/>
      <c r="AL90" s="118"/>
      <c r="AM90" s="117"/>
      <c r="AN90" s="114"/>
      <c r="AO90" s="114"/>
      <c r="AP90" s="6"/>
      <c r="AQ90" s="10"/>
      <c r="AR90" s="10"/>
      <c r="AS90" s="50"/>
      <c r="AT90" s="20" t="str">
        <f>IF($AF90&gt;=80%,"RESULTADOS FAVORABLES",IF($AF90&lt;70%,"ACCIÓN CORRECTIVA",IF($AF90&lt;75%,"OPORTUNIDAD DE MEJORA")))</f>
        <v>ACCIÓN CORRECTIVA</v>
      </c>
    </row>
    <row r="91" spans="1:46" ht="105" x14ac:dyDescent="0.2">
      <c r="A91" s="72" t="s">
        <v>395</v>
      </c>
      <c r="B91" s="115"/>
      <c r="C91" s="112" t="s">
        <v>397</v>
      </c>
      <c r="D91" s="4"/>
      <c r="E91" s="4" t="s">
        <v>399</v>
      </c>
      <c r="F91" s="227" t="s">
        <v>419</v>
      </c>
      <c r="G91" s="18" t="s">
        <v>420</v>
      </c>
      <c r="H91" s="92" t="s">
        <v>421</v>
      </c>
      <c r="I91" s="90" t="s">
        <v>51</v>
      </c>
      <c r="J91" s="311" t="s">
        <v>422</v>
      </c>
      <c r="K91" s="312"/>
      <c r="L91" s="90" t="s">
        <v>162</v>
      </c>
      <c r="M91" s="90" t="s">
        <v>403</v>
      </c>
      <c r="N91" s="90" t="s">
        <v>423</v>
      </c>
      <c r="O91" s="90" t="s">
        <v>423</v>
      </c>
      <c r="P91" s="119"/>
      <c r="Q91" s="117"/>
      <c r="R91" s="119"/>
      <c r="S91" s="92"/>
      <c r="T91" s="119"/>
      <c r="U91" s="117"/>
      <c r="V91" s="78"/>
      <c r="W91" s="50"/>
      <c r="X91" s="78"/>
      <c r="Y91" s="50"/>
      <c r="Z91" s="78"/>
      <c r="AA91" s="50"/>
      <c r="AB91" s="78"/>
      <c r="AC91" s="50"/>
      <c r="AD91" s="78"/>
      <c r="AE91" s="209"/>
      <c r="AF91" s="78"/>
      <c r="AG91" s="50"/>
      <c r="AH91" s="78"/>
      <c r="AI91" s="209"/>
      <c r="AJ91" s="78"/>
      <c r="AK91" s="50"/>
      <c r="AL91" s="78"/>
      <c r="AM91" s="50"/>
      <c r="AN91" s="114"/>
      <c r="AO91" s="114"/>
      <c r="AP91" s="6"/>
      <c r="AQ91" s="10"/>
      <c r="AR91" s="10"/>
      <c r="AS91" s="128"/>
      <c r="AT91" s="20" t="str">
        <f>IF($AL91&gt;=25%,"RESULTADOS FAVORABLES",IF($AL91&lt;12.5%,"ACCIÓN CORRECTIVA",IF($AL91&lt;24%,"OPORTUNIDAD DE MEJORA")))</f>
        <v>ACCIÓN CORRECTIVA</v>
      </c>
    </row>
    <row r="92" spans="1:46" ht="195" x14ac:dyDescent="0.2">
      <c r="A92" s="72" t="s">
        <v>395</v>
      </c>
      <c r="B92" s="229" t="s">
        <v>424</v>
      </c>
      <c r="C92" s="120" t="s">
        <v>425</v>
      </c>
      <c r="D92" s="4" t="s">
        <v>426</v>
      </c>
      <c r="E92" s="50" t="s">
        <v>427</v>
      </c>
      <c r="F92" s="220" t="s">
        <v>428</v>
      </c>
      <c r="G92" s="18" t="s">
        <v>429</v>
      </c>
      <c r="H92" s="92" t="s">
        <v>430</v>
      </c>
      <c r="I92" s="90" t="s">
        <v>44</v>
      </c>
      <c r="J92" s="313" t="s">
        <v>431</v>
      </c>
      <c r="K92" s="314"/>
      <c r="L92" s="121" t="s">
        <v>162</v>
      </c>
      <c r="M92" s="115" t="s">
        <v>87</v>
      </c>
      <c r="N92" s="121" t="s">
        <v>48</v>
      </c>
      <c r="O92" s="121" t="s">
        <v>48</v>
      </c>
      <c r="P92" s="122">
        <v>1</v>
      </c>
      <c r="Q92" s="214" t="s">
        <v>723</v>
      </c>
      <c r="R92" s="122">
        <v>1</v>
      </c>
      <c r="S92" s="214" t="s">
        <v>724</v>
      </c>
      <c r="T92" s="122">
        <v>1</v>
      </c>
      <c r="U92" s="214" t="s">
        <v>725</v>
      </c>
      <c r="V92" s="58"/>
      <c r="W92" s="117"/>
      <c r="X92" s="58"/>
      <c r="Y92" s="117"/>
      <c r="Z92" s="58"/>
      <c r="AA92" s="117"/>
      <c r="AB92" s="123"/>
      <c r="AC92" s="124"/>
      <c r="AD92" s="122"/>
      <c r="AE92" s="210"/>
      <c r="AF92" s="122"/>
      <c r="AG92" s="214"/>
      <c r="AH92" s="122"/>
      <c r="AI92" s="211"/>
      <c r="AJ92" s="122"/>
      <c r="AK92" s="103"/>
      <c r="AL92" s="122"/>
      <c r="AM92" s="103"/>
      <c r="AN92" s="58">
        <v>0</v>
      </c>
      <c r="AO92" s="59" t="s">
        <v>707</v>
      </c>
      <c r="AP92" s="6"/>
      <c r="AQ92" s="10"/>
      <c r="AR92" s="10"/>
      <c r="AS92" s="128"/>
      <c r="AT92" s="20" t="str">
        <f>IF($AL92&gt;=25%,"RESULTADOS FAVORABLES",IF($AL92&lt;12.5%,"ACCIÓN CORRECTIVA",IF($AL92&lt;24%,"OPORTUNIDAD DE MEJORA")))</f>
        <v>ACCIÓN CORRECTIVA</v>
      </c>
    </row>
    <row r="93" spans="1:46" ht="75" x14ac:dyDescent="0.2">
      <c r="A93" s="72" t="s">
        <v>395</v>
      </c>
      <c r="B93" s="115"/>
      <c r="C93" s="89" t="s">
        <v>425</v>
      </c>
      <c r="D93" s="4"/>
      <c r="E93" s="4" t="s">
        <v>427</v>
      </c>
      <c r="F93" s="228" t="s">
        <v>432</v>
      </c>
      <c r="G93" s="18" t="s">
        <v>433</v>
      </c>
      <c r="H93" s="92" t="s">
        <v>434</v>
      </c>
      <c r="I93" s="90" t="s">
        <v>44</v>
      </c>
      <c r="J93" s="313" t="s">
        <v>435</v>
      </c>
      <c r="K93" s="314"/>
      <c r="L93" s="121" t="s">
        <v>436</v>
      </c>
      <c r="M93" s="115" t="s">
        <v>87</v>
      </c>
      <c r="N93" s="121" t="s">
        <v>437</v>
      </c>
      <c r="O93" s="121" t="s">
        <v>194</v>
      </c>
      <c r="P93" s="121" t="s">
        <v>579</v>
      </c>
      <c r="Q93" s="121" t="s">
        <v>579</v>
      </c>
      <c r="R93" s="121" t="s">
        <v>579</v>
      </c>
      <c r="S93" s="121" t="s">
        <v>579</v>
      </c>
      <c r="T93" s="121" t="s">
        <v>579</v>
      </c>
      <c r="U93" s="121" t="s">
        <v>579</v>
      </c>
      <c r="V93" s="121"/>
      <c r="W93" s="124"/>
      <c r="X93" s="121"/>
      <c r="Y93" s="124"/>
      <c r="Z93" s="190"/>
      <c r="AA93" s="117"/>
      <c r="AB93" s="121"/>
      <c r="AC93" s="103"/>
      <c r="AD93" s="121"/>
      <c r="AE93" s="211"/>
      <c r="AF93" s="121"/>
      <c r="AG93" s="103"/>
      <c r="AH93" s="121"/>
      <c r="AI93" s="207"/>
      <c r="AJ93" s="121"/>
      <c r="AK93" s="57"/>
      <c r="AL93" s="121"/>
      <c r="AM93" s="57"/>
      <c r="AN93" s="58">
        <v>0</v>
      </c>
      <c r="AO93" s="118">
        <v>0</v>
      </c>
      <c r="AP93" s="6"/>
      <c r="AQ93" s="10"/>
      <c r="AR93" s="10"/>
      <c r="AS93" s="222"/>
      <c r="AT93" s="26"/>
    </row>
    <row r="94" spans="1:46" ht="240" x14ac:dyDescent="0.2">
      <c r="A94" s="72" t="s">
        <v>395</v>
      </c>
      <c r="B94" s="115"/>
      <c r="C94" s="89" t="s">
        <v>425</v>
      </c>
      <c r="D94" s="4" t="s">
        <v>438</v>
      </c>
      <c r="E94" s="50" t="s">
        <v>439</v>
      </c>
      <c r="F94" s="220" t="s">
        <v>440</v>
      </c>
      <c r="G94" s="18" t="s">
        <v>441</v>
      </c>
      <c r="H94" s="92" t="s">
        <v>442</v>
      </c>
      <c r="I94" s="90" t="s">
        <v>44</v>
      </c>
      <c r="J94" s="313" t="s">
        <v>443</v>
      </c>
      <c r="K94" s="314"/>
      <c r="L94" s="121" t="s">
        <v>162</v>
      </c>
      <c r="M94" s="115" t="s">
        <v>87</v>
      </c>
      <c r="N94" s="121" t="s">
        <v>48</v>
      </c>
      <c r="O94" s="121" t="s">
        <v>48</v>
      </c>
      <c r="P94" s="122">
        <v>0.99519000000000002</v>
      </c>
      <c r="Q94" s="57" t="s">
        <v>726</v>
      </c>
      <c r="R94" s="480">
        <v>0.98589000000000004</v>
      </c>
      <c r="S94" s="57" t="s">
        <v>727</v>
      </c>
      <c r="T94" s="480">
        <v>0.96353</v>
      </c>
      <c r="U94" s="57" t="s">
        <v>726</v>
      </c>
      <c r="V94" s="122"/>
      <c r="W94" s="103"/>
      <c r="X94" s="122"/>
      <c r="Y94" s="103"/>
      <c r="Z94" s="122"/>
      <c r="AA94" s="103"/>
      <c r="AB94" s="122"/>
      <c r="AC94" s="103"/>
      <c r="AD94" s="122"/>
      <c r="AE94" s="211"/>
      <c r="AF94" s="122"/>
      <c r="AG94" s="103"/>
      <c r="AH94" s="121"/>
      <c r="AI94" s="207"/>
      <c r="AJ94" s="121"/>
      <c r="AK94" s="57"/>
      <c r="AL94" s="121"/>
      <c r="AM94" s="57"/>
      <c r="AN94" s="481" t="s">
        <v>673</v>
      </c>
      <c r="AO94" s="126" t="s">
        <v>729</v>
      </c>
      <c r="AP94" s="6"/>
      <c r="AQ94" s="10"/>
      <c r="AR94" s="10"/>
      <c r="AS94" s="128"/>
      <c r="AT94" s="26" t="str">
        <f>IF($AL94&gt;=80%,"RESULTADOS FAVORABLES",IF($AL94&lt;70%,"ACCIÓN CORRECTIVA",IF($AL94&lt;75%,"OPORTUNIDAD DE MEJORA")))</f>
        <v>ACCIÓN CORRECTIVA</v>
      </c>
    </row>
    <row r="95" spans="1:46" ht="75" x14ac:dyDescent="0.2">
      <c r="A95" s="72" t="s">
        <v>395</v>
      </c>
      <c r="B95" s="115"/>
      <c r="C95" s="89" t="s">
        <v>425</v>
      </c>
      <c r="D95" s="4" t="s">
        <v>444</v>
      </c>
      <c r="E95" s="50" t="s">
        <v>439</v>
      </c>
      <c r="F95" s="220" t="s">
        <v>445</v>
      </c>
      <c r="G95" s="482" t="s">
        <v>446</v>
      </c>
      <c r="H95" s="57" t="s">
        <v>447</v>
      </c>
      <c r="I95" s="106" t="s">
        <v>44</v>
      </c>
      <c r="J95" s="473" t="s">
        <v>448</v>
      </c>
      <c r="K95" s="474"/>
      <c r="L95" s="106" t="s">
        <v>436</v>
      </c>
      <c r="M95" s="115" t="s">
        <v>87</v>
      </c>
      <c r="N95" s="106" t="s">
        <v>56</v>
      </c>
      <c r="O95" s="106" t="s">
        <v>56</v>
      </c>
      <c r="P95" s="121" t="s">
        <v>579</v>
      </c>
      <c r="Q95" s="121" t="s">
        <v>579</v>
      </c>
      <c r="R95" s="121" t="s">
        <v>579</v>
      </c>
      <c r="S95" s="121" t="s">
        <v>579</v>
      </c>
      <c r="T95" s="121">
        <v>0</v>
      </c>
      <c r="U95" s="57" t="s">
        <v>728</v>
      </c>
      <c r="V95" s="121"/>
      <c r="W95" s="483"/>
      <c r="X95" s="121"/>
      <c r="Y95" s="483"/>
      <c r="Z95" s="24"/>
      <c r="AA95" s="483"/>
      <c r="AB95" s="121"/>
      <c r="AC95" s="483"/>
      <c r="AD95" s="121"/>
      <c r="AE95" s="484"/>
      <c r="AF95" s="121"/>
      <c r="AG95" s="50"/>
      <c r="AH95" s="121"/>
      <c r="AI95" s="211"/>
      <c r="AJ95" s="121"/>
      <c r="AK95" s="103"/>
      <c r="AL95" s="472"/>
      <c r="AM95" s="50"/>
      <c r="AN95" s="125">
        <v>0</v>
      </c>
      <c r="AO95" s="126"/>
      <c r="AP95" s="6"/>
      <c r="AQ95" s="10"/>
      <c r="AR95" s="10"/>
      <c r="AS95" s="222"/>
      <c r="AT95" s="26"/>
    </row>
    <row r="96" spans="1:46" ht="47.25" x14ac:dyDescent="0.2">
      <c r="A96" s="72" t="s">
        <v>395</v>
      </c>
      <c r="B96" s="115"/>
      <c r="C96" s="89" t="s">
        <v>425</v>
      </c>
      <c r="D96" s="4"/>
      <c r="E96" s="50" t="s">
        <v>439</v>
      </c>
      <c r="F96" s="220" t="s">
        <v>449</v>
      </c>
      <c r="G96" s="18" t="s">
        <v>450</v>
      </c>
      <c r="H96" s="57" t="s">
        <v>451</v>
      </c>
      <c r="I96" s="106" t="s">
        <v>44</v>
      </c>
      <c r="J96" s="473" t="s">
        <v>452</v>
      </c>
      <c r="K96" s="474"/>
      <c r="L96" s="106" t="s">
        <v>436</v>
      </c>
      <c r="M96" s="115" t="s">
        <v>87</v>
      </c>
      <c r="N96" s="106" t="s">
        <v>56</v>
      </c>
      <c r="O96" s="106" t="s">
        <v>56</v>
      </c>
      <c r="P96" s="121" t="s">
        <v>579</v>
      </c>
      <c r="Q96" s="121" t="s">
        <v>579</v>
      </c>
      <c r="R96" s="121" t="s">
        <v>579</v>
      </c>
      <c r="S96" s="121" t="s">
        <v>579</v>
      </c>
      <c r="T96" s="121">
        <v>0</v>
      </c>
      <c r="U96" s="57" t="s">
        <v>728</v>
      </c>
      <c r="V96" s="121"/>
      <c r="W96" s="57"/>
      <c r="X96" s="121"/>
      <c r="Y96" s="57"/>
      <c r="Z96" s="24"/>
      <c r="AA96" s="57"/>
      <c r="AB96" s="121"/>
      <c r="AC96" s="103"/>
      <c r="AD96" s="106"/>
      <c r="AE96" s="211"/>
      <c r="AF96" s="106"/>
      <c r="AG96" s="103"/>
      <c r="AH96" s="121"/>
      <c r="AI96" s="207"/>
      <c r="AJ96" s="121"/>
      <c r="AK96" s="57"/>
      <c r="AL96" s="472"/>
      <c r="AM96" s="50"/>
      <c r="AN96" s="125">
        <v>0</v>
      </c>
      <c r="AO96" s="126"/>
      <c r="AP96" s="6"/>
      <c r="AQ96" s="10"/>
      <c r="AR96" s="10"/>
      <c r="AS96" s="50"/>
      <c r="AT96" s="26" t="str">
        <f>IF($AL96&gt;=25%,"RESULTADOS FAVORABLES",IF($AL96&lt;12.5%,"ACCIÓN CORRECTIVA",IF($AL96&lt;24%,"OPORTUNIDAD DE MEJORA")))</f>
        <v>ACCIÓN CORRECTIVA</v>
      </c>
    </row>
    <row r="97" spans="1:46" ht="60" x14ac:dyDescent="0.2">
      <c r="A97" s="455" t="s">
        <v>395</v>
      </c>
      <c r="B97" s="472"/>
      <c r="C97" s="456" t="s">
        <v>425</v>
      </c>
      <c r="D97" s="50" t="s">
        <v>453</v>
      </c>
      <c r="E97" s="50" t="s">
        <v>454</v>
      </c>
      <c r="F97" s="220" t="s">
        <v>455</v>
      </c>
      <c r="G97" s="18" t="s">
        <v>456</v>
      </c>
      <c r="H97" s="57" t="s">
        <v>457</v>
      </c>
      <c r="I97" s="106" t="s">
        <v>44</v>
      </c>
      <c r="J97" s="473" t="s">
        <v>458</v>
      </c>
      <c r="K97" s="474"/>
      <c r="L97" s="106" t="s">
        <v>436</v>
      </c>
      <c r="M97" s="115" t="s">
        <v>87</v>
      </c>
      <c r="N97" s="121" t="s">
        <v>437</v>
      </c>
      <c r="O97" s="121" t="s">
        <v>194</v>
      </c>
      <c r="P97" s="121" t="s">
        <v>579</v>
      </c>
      <c r="Q97" s="121" t="s">
        <v>579</v>
      </c>
      <c r="R97" s="121" t="s">
        <v>579</v>
      </c>
      <c r="S97" s="121" t="s">
        <v>579</v>
      </c>
      <c r="T97" s="121" t="s">
        <v>579</v>
      </c>
      <c r="U97" s="121" t="s">
        <v>579</v>
      </c>
      <c r="V97" s="115"/>
      <c r="W97" s="117"/>
      <c r="X97" s="115"/>
      <c r="Y97" s="117"/>
      <c r="Z97" s="121"/>
      <c r="AA97" s="50"/>
      <c r="AB97" s="115"/>
      <c r="AC97" s="117"/>
      <c r="AD97" s="115"/>
      <c r="AE97" s="208"/>
      <c r="AF97" s="115"/>
      <c r="AG97" s="117"/>
      <c r="AH97" s="115"/>
      <c r="AI97" s="208"/>
      <c r="AJ97" s="115"/>
      <c r="AK97" s="117"/>
      <c r="AL97" s="472"/>
      <c r="AM97" s="50"/>
      <c r="AN97" s="125"/>
      <c r="AO97" s="78">
        <v>0</v>
      </c>
      <c r="AP97" s="6"/>
      <c r="AQ97" s="10"/>
      <c r="AR97" s="10"/>
      <c r="AS97" s="50"/>
      <c r="AT97" s="304"/>
    </row>
    <row r="98" spans="1:46" ht="90" x14ac:dyDescent="0.2">
      <c r="A98" s="72" t="s">
        <v>395</v>
      </c>
      <c r="B98" s="117"/>
      <c r="C98" s="89" t="s">
        <v>425</v>
      </c>
      <c r="D98" s="4" t="s">
        <v>459</v>
      </c>
      <c r="E98" s="50" t="s">
        <v>460</v>
      </c>
      <c r="F98" s="220" t="s">
        <v>461</v>
      </c>
      <c r="G98" s="18" t="s">
        <v>462</v>
      </c>
      <c r="H98" s="92" t="s">
        <v>463</v>
      </c>
      <c r="I98" s="90" t="s">
        <v>44</v>
      </c>
      <c r="J98" s="311" t="s">
        <v>464</v>
      </c>
      <c r="K98" s="312"/>
      <c r="L98" s="121" t="s">
        <v>162</v>
      </c>
      <c r="M98" s="115" t="s">
        <v>87</v>
      </c>
      <c r="N98" s="121" t="s">
        <v>437</v>
      </c>
      <c r="O98" s="121" t="s">
        <v>194</v>
      </c>
      <c r="P98" s="121" t="s">
        <v>579</v>
      </c>
      <c r="Q98" s="121" t="s">
        <v>579</v>
      </c>
      <c r="R98" s="121" t="s">
        <v>579</v>
      </c>
      <c r="S98" s="121" t="s">
        <v>579</v>
      </c>
      <c r="T98" s="121" t="s">
        <v>579</v>
      </c>
      <c r="U98" s="121" t="s">
        <v>579</v>
      </c>
      <c r="V98" s="115"/>
      <c r="W98" s="117"/>
      <c r="X98" s="115"/>
      <c r="Y98" s="117"/>
      <c r="Z98" s="127"/>
      <c r="AA98" s="117"/>
      <c r="AB98" s="115"/>
      <c r="AC98" s="117"/>
      <c r="AD98" s="115"/>
      <c r="AE98" s="208"/>
      <c r="AF98" s="115"/>
      <c r="AG98" s="117"/>
      <c r="AH98" s="115"/>
      <c r="AI98" s="208"/>
      <c r="AJ98" s="115"/>
      <c r="AK98" s="117"/>
      <c r="AL98" s="250"/>
      <c r="AM98" s="117"/>
      <c r="AN98" s="58">
        <v>0</v>
      </c>
      <c r="AO98" s="59" t="s">
        <v>707</v>
      </c>
      <c r="AP98" s="6"/>
      <c r="AQ98" s="10"/>
      <c r="AR98" s="10"/>
      <c r="AS98" s="222"/>
      <c r="AT98" s="20" t="str">
        <f>IF($AL98&gt;=25%,"RESULTADOS FAVORABLES",IF($AL98&lt;12.5%,"ACCIÓN CORRECTIVA",IF($AL98&lt;24%,"OPORTUNIDAD DE MEJORA")))</f>
        <v>ACCIÓN CORRECTIVA</v>
      </c>
    </row>
    <row r="99" spans="1:46" ht="47.25" x14ac:dyDescent="0.2">
      <c r="A99" s="72" t="s">
        <v>395</v>
      </c>
      <c r="B99" s="117"/>
      <c r="C99" s="89" t="s">
        <v>425</v>
      </c>
      <c r="D99" s="4"/>
      <c r="E99" s="50" t="s">
        <v>465</v>
      </c>
      <c r="F99" s="220" t="s">
        <v>466</v>
      </c>
      <c r="G99" s="18" t="s">
        <v>467</v>
      </c>
      <c r="H99" s="92" t="s">
        <v>468</v>
      </c>
      <c r="I99" s="90" t="s">
        <v>51</v>
      </c>
      <c r="J99" s="311" t="s">
        <v>469</v>
      </c>
      <c r="K99" s="312"/>
      <c r="L99" s="121" t="s">
        <v>162</v>
      </c>
      <c r="M99" s="115" t="s">
        <v>87</v>
      </c>
      <c r="N99" s="121" t="s">
        <v>437</v>
      </c>
      <c r="O99" s="121" t="s">
        <v>194</v>
      </c>
      <c r="P99" s="121" t="s">
        <v>579</v>
      </c>
      <c r="Q99" s="121" t="s">
        <v>579</v>
      </c>
      <c r="R99" s="121" t="s">
        <v>579</v>
      </c>
      <c r="S99" s="121" t="s">
        <v>579</v>
      </c>
      <c r="T99" s="121" t="s">
        <v>579</v>
      </c>
      <c r="U99" s="121" t="s">
        <v>579</v>
      </c>
      <c r="V99" s="115"/>
      <c r="W99" s="117"/>
      <c r="X99" s="115"/>
      <c r="Y99" s="117"/>
      <c r="Z99" s="116"/>
      <c r="AA99" s="117"/>
      <c r="AB99" s="115"/>
      <c r="AC99" s="117"/>
      <c r="AD99" s="115"/>
      <c r="AE99" s="208"/>
      <c r="AF99" s="115"/>
      <c r="AG99" s="117"/>
      <c r="AH99" s="115"/>
      <c r="AI99" s="208"/>
      <c r="AJ99" s="115"/>
      <c r="AK99" s="117"/>
      <c r="AL99" s="24"/>
      <c r="AM99" s="117"/>
      <c r="AN99" s="58">
        <v>0</v>
      </c>
      <c r="AO99" s="59" t="s">
        <v>707</v>
      </c>
      <c r="AP99" s="6"/>
      <c r="AQ99" s="10"/>
      <c r="AR99" s="10"/>
      <c r="AS99" s="222"/>
      <c r="AT99" s="20" t="str">
        <f>IF($AL99&gt;=25%,"RESULTADOS FAVORABLES",IF($AL99&lt;12.5%,"ACCIÓN CORRECTIVA",IF($AL99&lt;24%,"OPORTUNIDAD DE MEJORA")))</f>
        <v>ACCIÓN CORRECTIVA</v>
      </c>
    </row>
    <row r="100" spans="1:46" ht="270" x14ac:dyDescent="0.2">
      <c r="A100" s="72" t="s">
        <v>395</v>
      </c>
      <c r="B100" s="229" t="s">
        <v>470</v>
      </c>
      <c r="C100" s="89" t="s">
        <v>471</v>
      </c>
      <c r="D100" s="4" t="s">
        <v>472</v>
      </c>
      <c r="E100" s="4" t="s">
        <v>473</v>
      </c>
      <c r="F100" s="227" t="s">
        <v>474</v>
      </c>
      <c r="G100" s="5" t="s">
        <v>520</v>
      </c>
      <c r="H100" s="5" t="s">
        <v>475</v>
      </c>
      <c r="I100" s="306" t="s">
        <v>44</v>
      </c>
      <c r="J100" s="307" t="s">
        <v>476</v>
      </c>
      <c r="K100" s="308"/>
      <c r="L100" s="121" t="s">
        <v>162</v>
      </c>
      <c r="M100" s="306" t="s">
        <v>477</v>
      </c>
      <c r="N100" s="6" t="s">
        <v>48</v>
      </c>
      <c r="O100" s="6" t="s">
        <v>48</v>
      </c>
      <c r="P100" s="36">
        <f>18159375/2378130388</f>
        <v>7.6359879557621633E-3</v>
      </c>
      <c r="Q100" s="191" t="s">
        <v>771</v>
      </c>
      <c r="R100" s="8">
        <f>17713122/2057745412</f>
        <v>8.6080240522970978E-3</v>
      </c>
      <c r="S100" s="24" t="s">
        <v>772</v>
      </c>
      <c r="T100" s="8">
        <f>21062043/4015067974</f>
        <v>5.2457500436828217E-3</v>
      </c>
      <c r="U100" s="24" t="s">
        <v>773</v>
      </c>
      <c r="V100" s="25"/>
      <c r="W100" s="5"/>
      <c r="X100" s="113"/>
      <c r="Y100" s="5"/>
      <c r="Z100" s="25"/>
      <c r="AA100" s="5"/>
      <c r="AB100" s="49"/>
      <c r="AC100" s="5"/>
      <c r="AD100" s="49"/>
      <c r="AE100" s="22"/>
      <c r="AF100" s="49"/>
      <c r="AG100" s="5"/>
      <c r="AH100" s="186"/>
      <c r="AI100" s="170"/>
      <c r="AJ100" s="186"/>
      <c r="AK100" s="185"/>
      <c r="AL100" s="186"/>
      <c r="AM100" s="185"/>
      <c r="AN100" s="6" t="s">
        <v>673</v>
      </c>
      <c r="AO100" s="6" t="s">
        <v>730</v>
      </c>
      <c r="AP100" s="6"/>
      <c r="AQ100" s="10"/>
      <c r="AR100" s="10"/>
      <c r="AS100" s="222"/>
      <c r="AT100" s="20" t="str">
        <f>+[1]Hoja1!$AS$11</f>
        <v>RESULTADOS FAVORABLES</v>
      </c>
    </row>
    <row r="101" spans="1:46" ht="195" x14ac:dyDescent="0.2">
      <c r="A101" s="72" t="s">
        <v>395</v>
      </c>
      <c r="B101" s="357"/>
      <c r="C101" s="89" t="s">
        <v>471</v>
      </c>
      <c r="D101" s="4"/>
      <c r="E101" s="4" t="s">
        <v>473</v>
      </c>
      <c r="F101" s="227" t="s">
        <v>478</v>
      </c>
      <c r="G101" s="18" t="s">
        <v>479</v>
      </c>
      <c r="H101" s="92" t="s">
        <v>480</v>
      </c>
      <c r="I101" s="90" t="s">
        <v>51</v>
      </c>
      <c r="J101" s="309" t="s">
        <v>481</v>
      </c>
      <c r="K101" s="310"/>
      <c r="L101" s="121" t="s">
        <v>162</v>
      </c>
      <c r="M101" s="306" t="s">
        <v>477</v>
      </c>
      <c r="N101" s="6" t="s">
        <v>194</v>
      </c>
      <c r="O101" s="6" t="s">
        <v>194</v>
      </c>
      <c r="P101" s="59" t="s">
        <v>579</v>
      </c>
      <c r="Q101" s="59" t="s">
        <v>579</v>
      </c>
      <c r="R101" s="59" t="s">
        <v>579</v>
      </c>
      <c r="S101" s="59" t="s">
        <v>579</v>
      </c>
      <c r="T101" s="59" t="s">
        <v>579</v>
      </c>
      <c r="U101" s="59" t="s">
        <v>579</v>
      </c>
      <c r="V101" s="59"/>
      <c r="W101" s="128"/>
      <c r="X101" s="59"/>
      <c r="Y101" s="128"/>
      <c r="Z101" s="24"/>
      <c r="AA101" s="128"/>
      <c r="AB101" s="59"/>
      <c r="AC101" s="128"/>
      <c r="AD101" s="59"/>
      <c r="AE101" s="200"/>
      <c r="AF101" s="59"/>
      <c r="AG101" s="128"/>
      <c r="AH101" s="59"/>
      <c r="AI101" s="200"/>
      <c r="AJ101" s="59"/>
      <c r="AK101" s="128"/>
      <c r="AL101" s="78"/>
      <c r="AM101" s="485"/>
      <c r="AN101" s="14">
        <v>0</v>
      </c>
      <c r="AO101" s="14">
        <v>1</v>
      </c>
      <c r="AP101" s="6"/>
      <c r="AQ101" s="10"/>
      <c r="AR101" s="10"/>
      <c r="AS101" s="128"/>
      <c r="AT101" s="20" t="str">
        <f>IF($AL101&gt;=25%,"RESULTADOS FAVORABLES",IF($AL101&lt;12.5%,"ACCIÓN CORRECTIVA",IF($AL101&lt;24%,"OPORTUNIDAD DE MEJORA")))</f>
        <v>ACCIÓN CORRECTIVA</v>
      </c>
    </row>
    <row r="102" spans="1:46" ht="90" x14ac:dyDescent="0.2">
      <c r="A102" s="72" t="s">
        <v>395</v>
      </c>
      <c r="B102" s="357"/>
      <c r="C102" s="89" t="s">
        <v>471</v>
      </c>
      <c r="D102" s="4"/>
      <c r="E102" s="4" t="s">
        <v>473</v>
      </c>
      <c r="F102" s="227" t="s">
        <v>482</v>
      </c>
      <c r="G102" s="18" t="s">
        <v>483</v>
      </c>
      <c r="H102" s="92" t="s">
        <v>484</v>
      </c>
      <c r="I102" s="90" t="s">
        <v>51</v>
      </c>
      <c r="J102" s="309" t="s">
        <v>485</v>
      </c>
      <c r="K102" s="310"/>
      <c r="L102" s="121" t="s">
        <v>162</v>
      </c>
      <c r="M102" s="306" t="s">
        <v>477</v>
      </c>
      <c r="N102" s="6" t="s">
        <v>194</v>
      </c>
      <c r="O102" s="6" t="s">
        <v>194</v>
      </c>
      <c r="P102" s="59" t="s">
        <v>579</v>
      </c>
      <c r="Q102" s="59" t="s">
        <v>579</v>
      </c>
      <c r="R102" s="59" t="s">
        <v>579</v>
      </c>
      <c r="S102" s="59" t="s">
        <v>579</v>
      </c>
      <c r="T102" s="59" t="s">
        <v>579</v>
      </c>
      <c r="U102" s="128"/>
      <c r="V102" s="59"/>
      <c r="W102" s="128"/>
      <c r="X102" s="59"/>
      <c r="Y102" s="128"/>
      <c r="Z102" s="24"/>
      <c r="AA102" s="128"/>
      <c r="AB102" s="59"/>
      <c r="AC102" s="128"/>
      <c r="AD102" s="59"/>
      <c r="AE102" s="200"/>
      <c r="AF102" s="59"/>
      <c r="AG102" s="128"/>
      <c r="AH102" s="59"/>
      <c r="AI102" s="200"/>
      <c r="AJ102" s="59"/>
      <c r="AK102" s="128"/>
      <c r="AL102" s="78"/>
      <c r="AM102" s="486"/>
      <c r="AN102" s="10" t="s">
        <v>673</v>
      </c>
      <c r="AO102" s="14">
        <v>1</v>
      </c>
      <c r="AP102" s="6"/>
      <c r="AQ102" s="10"/>
      <c r="AR102" s="10"/>
      <c r="AS102" s="128"/>
      <c r="AT102" s="20" t="str">
        <f>IF($AL102&gt;=25%,"RESULTADOS FAVORABLES",IF($AL102&lt;12.5%,"ACCIÓN CORRECTIVA",IF($AL102&lt;24%,"OPORTUNIDAD DE MEJORA")))</f>
        <v>ACCIÓN CORRECTIVA</v>
      </c>
    </row>
    <row r="103" spans="1:46" ht="105" x14ac:dyDescent="0.2">
      <c r="A103" s="72" t="s">
        <v>395</v>
      </c>
      <c r="B103" s="357"/>
      <c r="C103" s="89" t="s">
        <v>471</v>
      </c>
      <c r="D103" s="4"/>
      <c r="E103" s="4" t="s">
        <v>473</v>
      </c>
      <c r="F103" s="227" t="s">
        <v>486</v>
      </c>
      <c r="G103" s="117" t="s">
        <v>487</v>
      </c>
      <c r="H103" s="92" t="s">
        <v>488</v>
      </c>
      <c r="I103" s="90" t="s">
        <v>51</v>
      </c>
      <c r="J103" s="309" t="s">
        <v>489</v>
      </c>
      <c r="K103" s="310"/>
      <c r="L103" s="121" t="s">
        <v>162</v>
      </c>
      <c r="M103" s="306" t="s">
        <v>477</v>
      </c>
      <c r="N103" s="6" t="s">
        <v>194</v>
      </c>
      <c r="O103" s="6" t="s">
        <v>194</v>
      </c>
      <c r="P103" s="59" t="s">
        <v>579</v>
      </c>
      <c r="Q103" s="59" t="s">
        <v>579</v>
      </c>
      <c r="R103" s="59" t="s">
        <v>579</v>
      </c>
      <c r="S103" s="59" t="s">
        <v>579</v>
      </c>
      <c r="T103" s="59" t="s">
        <v>579</v>
      </c>
      <c r="U103" s="128"/>
      <c r="V103" s="59"/>
      <c r="W103" s="128"/>
      <c r="X103" s="59"/>
      <c r="Y103" s="128"/>
      <c r="Z103" s="24"/>
      <c r="AA103" s="128"/>
      <c r="AB103" s="59"/>
      <c r="AC103" s="128"/>
      <c r="AD103" s="59"/>
      <c r="AE103" s="200"/>
      <c r="AF103" s="59"/>
      <c r="AG103" s="128"/>
      <c r="AH103" s="59"/>
      <c r="AI103" s="200"/>
      <c r="AJ103" s="59"/>
      <c r="AK103" s="128"/>
      <c r="AL103" s="78"/>
      <c r="AM103" s="487"/>
      <c r="AN103" s="14">
        <v>0</v>
      </c>
      <c r="AO103" s="14">
        <v>1</v>
      </c>
      <c r="AP103" s="6"/>
      <c r="AQ103" s="10"/>
      <c r="AR103" s="10"/>
      <c r="AS103" s="128"/>
      <c r="AT103" s="20" t="str">
        <f>IF($AL103&gt;=25%,"RESULTADOS FAVORABLES",IF($AL103&lt;12.5%,"ACCIÓN CORRECTIVA",IF($AL103&lt;24%,"OPORTUNIDAD DE MEJORA")))</f>
        <v>ACCIÓN CORRECTIVA</v>
      </c>
    </row>
    <row r="104" spans="1:46" ht="15.75" x14ac:dyDescent="0.2">
      <c r="A104" s="129"/>
      <c r="B104" s="233"/>
      <c r="C104" s="130"/>
      <c r="D104" s="131"/>
      <c r="E104" s="131"/>
      <c r="F104" s="193"/>
      <c r="G104" s="133"/>
      <c r="H104" s="134"/>
      <c r="I104" s="135"/>
      <c r="J104" s="136"/>
      <c r="K104" s="136"/>
      <c r="L104" s="137"/>
      <c r="M104" s="135"/>
      <c r="N104" s="138"/>
      <c r="O104" s="138"/>
      <c r="P104" s="139"/>
      <c r="Q104" s="192"/>
      <c r="R104" s="139"/>
      <c r="S104" s="193"/>
      <c r="T104" s="139"/>
      <c r="U104" s="140"/>
      <c r="V104" s="132"/>
      <c r="W104" s="140"/>
      <c r="X104" s="141"/>
      <c r="Y104" s="140"/>
      <c r="Z104" s="141"/>
      <c r="AA104" s="140"/>
      <c r="AB104" s="141"/>
      <c r="AC104" s="140"/>
      <c r="AD104" s="141"/>
      <c r="AE104" s="212"/>
      <c r="AF104" s="132"/>
      <c r="AG104" s="140"/>
      <c r="AH104" s="141"/>
      <c r="AI104" s="212"/>
      <c r="AJ104" s="141"/>
      <c r="AK104" s="140"/>
      <c r="AL104" s="141"/>
      <c r="AM104" s="140"/>
      <c r="AN104" s="139"/>
      <c r="AO104" s="139"/>
      <c r="AP104" s="141"/>
      <c r="AQ104" s="141"/>
      <c r="AR104" s="141"/>
      <c r="AS104" s="224"/>
      <c r="AT104" s="142"/>
    </row>
    <row r="105" spans="1:46" ht="15.75" x14ac:dyDescent="0.2">
      <c r="A105" s="143"/>
      <c r="B105" s="149"/>
      <c r="C105" s="145"/>
      <c r="D105" s="225"/>
      <c r="E105" s="147"/>
      <c r="F105" s="194"/>
      <c r="G105" s="148"/>
      <c r="H105" s="148"/>
      <c r="I105" s="149"/>
      <c r="J105" s="150"/>
      <c r="K105" s="150"/>
      <c r="L105" s="144"/>
      <c r="M105" s="151"/>
      <c r="N105" s="149"/>
      <c r="O105" s="149"/>
      <c r="P105" s="149"/>
      <c r="Q105" s="148"/>
      <c r="R105" s="149"/>
      <c r="S105" s="194"/>
      <c r="T105" s="149"/>
      <c r="U105" s="148"/>
      <c r="V105" s="144"/>
      <c r="W105" s="148"/>
      <c r="X105" s="146"/>
      <c r="Y105" s="148"/>
      <c r="Z105" s="146"/>
      <c r="AA105" s="148"/>
      <c r="AB105" s="146"/>
      <c r="AC105" s="148"/>
      <c r="AD105" s="146"/>
      <c r="AE105" s="213"/>
      <c r="AF105" s="144"/>
      <c r="AG105" s="148"/>
      <c r="AH105" s="146"/>
      <c r="AI105" s="213"/>
      <c r="AJ105" s="146"/>
      <c r="AK105" s="148"/>
      <c r="AL105" s="146"/>
      <c r="AM105" s="148"/>
      <c r="AN105" s="149"/>
      <c r="AO105" s="149"/>
      <c r="AP105" s="146"/>
      <c r="AQ105" s="146"/>
      <c r="AR105" s="146"/>
      <c r="AS105" s="148"/>
      <c r="AT105" s="149"/>
    </row>
    <row r="106" spans="1:46" ht="15.75" x14ac:dyDescent="0.2">
      <c r="A106" s="145"/>
      <c r="B106" s="149"/>
      <c r="C106" s="145"/>
      <c r="D106" s="225"/>
      <c r="E106" s="147"/>
      <c r="F106" s="194"/>
      <c r="G106" s="148"/>
      <c r="H106" s="148"/>
      <c r="I106" s="149"/>
      <c r="J106" s="150"/>
      <c r="K106" s="150"/>
      <c r="L106" s="144"/>
      <c r="M106" s="151"/>
      <c r="N106" s="149"/>
      <c r="O106" s="149"/>
      <c r="P106" s="149"/>
      <c r="Q106" s="148"/>
      <c r="R106" s="149"/>
      <c r="S106" s="194"/>
      <c r="T106" s="149"/>
      <c r="U106" s="148"/>
      <c r="V106" s="144"/>
      <c r="W106" s="148"/>
      <c r="X106" s="146"/>
      <c r="Y106" s="148"/>
      <c r="Z106" s="146"/>
      <c r="AA106" s="148"/>
      <c r="AB106" s="146"/>
      <c r="AC106" s="148"/>
      <c r="AD106" s="146"/>
      <c r="AE106" s="213"/>
      <c r="AF106" s="144"/>
      <c r="AG106" s="148"/>
      <c r="AH106" s="146"/>
      <c r="AI106" s="213"/>
      <c r="AJ106" s="146"/>
      <c r="AK106" s="148"/>
      <c r="AL106" s="146"/>
      <c r="AM106" s="148"/>
      <c r="AN106" s="149"/>
      <c r="AO106" s="149"/>
      <c r="AP106" s="146"/>
      <c r="AQ106" s="146"/>
      <c r="AR106" s="146"/>
      <c r="AS106" s="148"/>
      <c r="AT106" s="149"/>
    </row>
    <row r="107" spans="1:46" ht="15.75" x14ac:dyDescent="0.2">
      <c r="A107" s="145"/>
      <c r="B107" s="149"/>
      <c r="C107" s="145"/>
      <c r="D107" s="225"/>
      <c r="E107" s="147"/>
      <c r="F107" s="194"/>
      <c r="G107" s="148"/>
      <c r="H107" s="148"/>
      <c r="I107" s="149"/>
      <c r="J107" s="150"/>
      <c r="K107" s="150"/>
      <c r="L107" s="144"/>
      <c r="M107" s="151"/>
      <c r="N107" s="149"/>
      <c r="O107" s="149"/>
      <c r="P107" s="149"/>
      <c r="Q107" s="148"/>
      <c r="R107" s="149"/>
      <c r="S107" s="194"/>
      <c r="T107" s="149"/>
      <c r="U107" s="148"/>
      <c r="V107" s="144"/>
      <c r="W107" s="148"/>
      <c r="X107" s="146"/>
      <c r="Y107" s="148"/>
      <c r="Z107" s="146"/>
      <c r="AA107" s="148"/>
      <c r="AB107" s="146"/>
      <c r="AC107" s="148"/>
      <c r="AD107" s="146"/>
      <c r="AE107" s="213"/>
      <c r="AF107" s="144"/>
      <c r="AG107" s="148"/>
      <c r="AH107" s="146"/>
      <c r="AI107" s="213"/>
      <c r="AJ107" s="146"/>
      <c r="AK107" s="148"/>
      <c r="AL107" s="146"/>
      <c r="AM107" s="148"/>
      <c r="AN107" s="149"/>
      <c r="AO107" s="149"/>
      <c r="AP107" s="146"/>
      <c r="AQ107" s="146"/>
      <c r="AR107" s="146"/>
      <c r="AS107" s="148"/>
      <c r="AT107" s="149"/>
    </row>
    <row r="108" spans="1:46" ht="15.75" x14ac:dyDescent="0.2">
      <c r="A108" s="145"/>
      <c r="B108" s="149"/>
      <c r="C108" s="145"/>
      <c r="D108" s="225"/>
      <c r="E108" s="147"/>
      <c r="F108" s="194"/>
      <c r="G108" s="148"/>
      <c r="H108" s="148"/>
      <c r="I108" s="149"/>
      <c r="J108" s="150"/>
      <c r="K108" s="150"/>
      <c r="L108" s="144"/>
      <c r="M108" s="151"/>
      <c r="N108" s="149"/>
      <c r="O108" s="149"/>
      <c r="P108" s="149"/>
      <c r="Q108" s="148"/>
      <c r="R108" s="149"/>
      <c r="S108" s="194"/>
      <c r="T108" s="149"/>
      <c r="U108" s="148"/>
      <c r="V108" s="144"/>
      <c r="W108" s="148"/>
      <c r="X108" s="146"/>
      <c r="Y108" s="148"/>
      <c r="Z108" s="146"/>
      <c r="AA108" s="148"/>
      <c r="AB108" s="146"/>
      <c r="AC108" s="148"/>
      <c r="AD108" s="146"/>
      <c r="AE108" s="213"/>
      <c r="AF108" s="144"/>
      <c r="AG108" s="148"/>
      <c r="AH108" s="146"/>
      <c r="AI108" s="213"/>
      <c r="AJ108" s="146"/>
      <c r="AK108" s="148"/>
      <c r="AL108" s="146"/>
      <c r="AM108" s="148"/>
      <c r="AN108" s="149"/>
      <c r="AO108" s="149"/>
      <c r="AP108" s="146"/>
      <c r="AQ108" s="146"/>
      <c r="AR108" s="146"/>
      <c r="AS108" s="148"/>
      <c r="AT108" s="149"/>
    </row>
    <row r="109" spans="1:46" ht="15.75" x14ac:dyDescent="0.2">
      <c r="A109" s="145"/>
      <c r="B109" s="149"/>
      <c r="C109" s="152"/>
      <c r="D109" s="225"/>
      <c r="E109" s="147"/>
      <c r="F109" s="194"/>
      <c r="G109" s="148"/>
      <c r="H109" s="148"/>
      <c r="I109" s="149"/>
      <c r="J109" s="150"/>
      <c r="K109" s="150"/>
      <c r="L109" s="144"/>
      <c r="M109" s="151"/>
      <c r="N109" s="149"/>
      <c r="O109" s="149"/>
      <c r="P109" s="149"/>
      <c r="Q109" s="148"/>
      <c r="R109" s="149"/>
      <c r="S109" s="194"/>
      <c r="T109" s="149"/>
      <c r="U109" s="148"/>
      <c r="V109" s="144"/>
      <c r="W109" s="148"/>
      <c r="X109" s="146"/>
      <c r="Y109" s="148"/>
      <c r="Z109" s="146"/>
      <c r="AA109" s="148"/>
      <c r="AB109" s="146"/>
      <c r="AC109" s="148"/>
      <c r="AD109" s="146"/>
      <c r="AE109" s="213"/>
      <c r="AF109" s="144"/>
      <c r="AG109" s="148"/>
      <c r="AH109" s="146"/>
      <c r="AI109" s="213"/>
      <c r="AJ109" s="146"/>
      <c r="AK109" s="148"/>
      <c r="AL109" s="146"/>
      <c r="AM109" s="148"/>
      <c r="AN109" s="149"/>
      <c r="AO109" s="149"/>
      <c r="AP109" s="146"/>
      <c r="AQ109" s="146"/>
      <c r="AR109" s="146"/>
      <c r="AS109" s="148"/>
      <c r="AT109" s="149"/>
    </row>
  </sheetData>
  <autoFilter ref="A4:AU103">
    <filterColumn colId="9" showButton="0"/>
  </autoFilter>
  <mergeCells count="170">
    <mergeCell ref="AJ3:AO3"/>
    <mergeCell ref="AJ1:AT1"/>
    <mergeCell ref="AJ2:AT2"/>
    <mergeCell ref="AP3:AT3"/>
    <mergeCell ref="B37:B52"/>
    <mergeCell ref="A63:A64"/>
    <mergeCell ref="B63:B64"/>
    <mergeCell ref="C63:C64"/>
    <mergeCell ref="D63:D64"/>
    <mergeCell ref="A14:A18"/>
    <mergeCell ref="C14:C18"/>
    <mergeCell ref="A1:A3"/>
    <mergeCell ref="B3:AH3"/>
    <mergeCell ref="L14:L18"/>
    <mergeCell ref="M14:M18"/>
    <mergeCell ref="N14:N18"/>
    <mergeCell ref="O14:O18"/>
    <mergeCell ref="J13:K13"/>
    <mergeCell ref="J12:K12"/>
    <mergeCell ref="J19:K19"/>
    <mergeCell ref="J20:K20"/>
    <mergeCell ref="G14:G18"/>
    <mergeCell ref="H14:H18"/>
    <mergeCell ref="I14:I18"/>
    <mergeCell ref="B83:B85"/>
    <mergeCell ref="B101:B103"/>
    <mergeCell ref="B1:AI2"/>
    <mergeCell ref="W63:W64"/>
    <mergeCell ref="Y63:Y64"/>
    <mergeCell ref="AA63:AA64"/>
    <mergeCell ref="AC63:AC64"/>
    <mergeCell ref="AE63:AE64"/>
    <mergeCell ref="AG63:AG64"/>
    <mergeCell ref="M63:M64"/>
    <mergeCell ref="N63:N64"/>
    <mergeCell ref="O63:O64"/>
    <mergeCell ref="Q63:Q64"/>
    <mergeCell ref="S63:S64"/>
    <mergeCell ref="U63:U64"/>
    <mergeCell ref="E63:E64"/>
    <mergeCell ref="F63:F64"/>
    <mergeCell ref="G63:G64"/>
    <mergeCell ref="H63:H64"/>
    <mergeCell ref="I63:I64"/>
    <mergeCell ref="L63:L64"/>
    <mergeCell ref="J64:K64"/>
    <mergeCell ref="B12:B20"/>
    <mergeCell ref="D29:D30"/>
    <mergeCell ref="U14:U18"/>
    <mergeCell ref="V14:V18"/>
    <mergeCell ref="W14:W18"/>
    <mergeCell ref="X14:X18"/>
    <mergeCell ref="Y14:Y18"/>
    <mergeCell ref="Q14:Q18"/>
    <mergeCell ref="S14:S18"/>
    <mergeCell ref="AE14:AE18"/>
    <mergeCell ref="AF14:AF18"/>
    <mergeCell ref="AG14:AG18"/>
    <mergeCell ref="AH14:AH18"/>
    <mergeCell ref="AI14:AI18"/>
    <mergeCell ref="Z14:Z18"/>
    <mergeCell ref="AA14:AA18"/>
    <mergeCell ref="AB14:AB18"/>
    <mergeCell ref="AC14:AC18"/>
    <mergeCell ref="AD14:AD18"/>
    <mergeCell ref="AT14:AT18"/>
    <mergeCell ref="AO14:AO18"/>
    <mergeCell ref="AP14:AP18"/>
    <mergeCell ref="AQ14:AQ18"/>
    <mergeCell ref="AR14:AR18"/>
    <mergeCell ref="AS14:AS18"/>
    <mergeCell ref="AJ14:AJ18"/>
    <mergeCell ref="AK14:AK18"/>
    <mergeCell ref="AL14:AL18"/>
    <mergeCell ref="AM14:AM18"/>
    <mergeCell ref="AN14:AN18"/>
    <mergeCell ref="J24:K24"/>
    <mergeCell ref="J25:K25"/>
    <mergeCell ref="J26:K26"/>
    <mergeCell ref="J27:K27"/>
    <mergeCell ref="J28:K28"/>
    <mergeCell ref="D13:D20"/>
    <mergeCell ref="J5:K5"/>
    <mergeCell ref="J6:K6"/>
    <mergeCell ref="J7:K7"/>
    <mergeCell ref="J8:K8"/>
    <mergeCell ref="J9:K9"/>
    <mergeCell ref="J10:K10"/>
    <mergeCell ref="J11:K11"/>
    <mergeCell ref="J21:K21"/>
    <mergeCell ref="J22:K22"/>
    <mergeCell ref="J23:K23"/>
    <mergeCell ref="E14:E18"/>
    <mergeCell ref="F14:F18"/>
    <mergeCell ref="J14:J18"/>
    <mergeCell ref="J34:K34"/>
    <mergeCell ref="J35:K35"/>
    <mergeCell ref="J36:K36"/>
    <mergeCell ref="J37:K37"/>
    <mergeCell ref="J38:K38"/>
    <mergeCell ref="J29:K29"/>
    <mergeCell ref="J30:K30"/>
    <mergeCell ref="J31:K31"/>
    <mergeCell ref="J32:K32"/>
    <mergeCell ref="J33:K33"/>
    <mergeCell ref="J44:K44"/>
    <mergeCell ref="J45:K45"/>
    <mergeCell ref="J46:K46"/>
    <mergeCell ref="J47:K47"/>
    <mergeCell ref="J48:K48"/>
    <mergeCell ref="J39:K39"/>
    <mergeCell ref="J40:K40"/>
    <mergeCell ref="J41:K41"/>
    <mergeCell ref="J42:K42"/>
    <mergeCell ref="J43:K43"/>
    <mergeCell ref="J54:K54"/>
    <mergeCell ref="J55:K55"/>
    <mergeCell ref="J56:K56"/>
    <mergeCell ref="J57:K57"/>
    <mergeCell ref="J58:K58"/>
    <mergeCell ref="J49:K49"/>
    <mergeCell ref="J50:K50"/>
    <mergeCell ref="J51:K51"/>
    <mergeCell ref="J52:K52"/>
    <mergeCell ref="J53:K53"/>
    <mergeCell ref="J65:K65"/>
    <mergeCell ref="J66:K66"/>
    <mergeCell ref="J67:K67"/>
    <mergeCell ref="J68:K68"/>
    <mergeCell ref="J69:K69"/>
    <mergeCell ref="J59:K59"/>
    <mergeCell ref="J60:K60"/>
    <mergeCell ref="J61:K61"/>
    <mergeCell ref="J62:K62"/>
    <mergeCell ref="J63:K63"/>
    <mergeCell ref="J84:K84"/>
    <mergeCell ref="J75:K75"/>
    <mergeCell ref="J76:K76"/>
    <mergeCell ref="J77:K77"/>
    <mergeCell ref="J78:K78"/>
    <mergeCell ref="J79:K79"/>
    <mergeCell ref="J70:K70"/>
    <mergeCell ref="J71:K71"/>
    <mergeCell ref="J72:K72"/>
    <mergeCell ref="J73:K73"/>
    <mergeCell ref="J74:K74"/>
    <mergeCell ref="J100:K100"/>
    <mergeCell ref="J101:K101"/>
    <mergeCell ref="J102:K102"/>
    <mergeCell ref="J103:K103"/>
    <mergeCell ref="J4:K4"/>
    <mergeCell ref="J95:K95"/>
    <mergeCell ref="J96:K96"/>
    <mergeCell ref="J97:K97"/>
    <mergeCell ref="J98:K98"/>
    <mergeCell ref="J99:K99"/>
    <mergeCell ref="J90:K90"/>
    <mergeCell ref="J91:K91"/>
    <mergeCell ref="J92:K92"/>
    <mergeCell ref="J93:K93"/>
    <mergeCell ref="J94:K94"/>
    <mergeCell ref="J85:K85"/>
    <mergeCell ref="J86:K86"/>
    <mergeCell ref="J87:K87"/>
    <mergeCell ref="J88:K88"/>
    <mergeCell ref="J89:K89"/>
    <mergeCell ref="J80:K80"/>
    <mergeCell ref="J81:K81"/>
    <mergeCell ref="J82:K82"/>
    <mergeCell ref="J83:K8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7"/>
  <sheetViews>
    <sheetView topLeftCell="L3" workbookViewId="0">
      <selection activeCell="W17" sqref="W17"/>
    </sheetView>
  </sheetViews>
  <sheetFormatPr baseColWidth="10" defaultRowHeight="15" x14ac:dyDescent="0.25"/>
  <cols>
    <col min="6" max="6" width="22" customWidth="1"/>
    <col min="11" max="11" width="11.85546875" bestFit="1" customWidth="1"/>
    <col min="12" max="12" width="27" customWidth="1"/>
    <col min="18" max="18" width="20.5703125" customWidth="1"/>
    <col min="24" max="24" width="22.28515625" customWidth="1"/>
  </cols>
  <sheetData>
    <row r="2" spans="2:24" ht="15.75" thickBot="1" x14ac:dyDescent="0.3"/>
    <row r="3" spans="2:24" ht="16.5" thickBot="1" x14ac:dyDescent="0.3">
      <c r="B3" s="407" t="s">
        <v>490</v>
      </c>
      <c r="C3" s="408"/>
      <c r="D3" s="408"/>
      <c r="E3" s="408"/>
      <c r="F3" s="409"/>
      <c r="H3" s="410" t="s">
        <v>490</v>
      </c>
      <c r="I3" s="411"/>
      <c r="J3" s="411"/>
      <c r="K3" s="411"/>
      <c r="L3" s="412"/>
      <c r="N3" s="410" t="s">
        <v>490</v>
      </c>
      <c r="O3" s="411"/>
      <c r="P3" s="411"/>
      <c r="Q3" s="411"/>
      <c r="R3" s="412"/>
      <c r="T3" s="410" t="s">
        <v>490</v>
      </c>
      <c r="U3" s="411"/>
      <c r="V3" s="411"/>
      <c r="W3" s="411"/>
      <c r="X3" s="412"/>
    </row>
    <row r="4" spans="2:24" ht="90" x14ac:dyDescent="0.25">
      <c r="B4" s="413" t="s">
        <v>491</v>
      </c>
      <c r="C4" s="414"/>
      <c r="D4" s="153">
        <v>2019</v>
      </c>
      <c r="E4" s="153">
        <v>2018</v>
      </c>
      <c r="F4" s="154" t="s">
        <v>492</v>
      </c>
      <c r="H4" s="415" t="s">
        <v>493</v>
      </c>
      <c r="I4" s="416"/>
      <c r="J4" s="155" t="s">
        <v>494</v>
      </c>
      <c r="K4" s="155" t="s">
        <v>495</v>
      </c>
      <c r="L4" s="156" t="s">
        <v>492</v>
      </c>
      <c r="N4" s="415" t="s">
        <v>496</v>
      </c>
      <c r="O4" s="416"/>
      <c r="P4" s="157" t="s">
        <v>497</v>
      </c>
      <c r="Q4" s="155" t="s">
        <v>498</v>
      </c>
      <c r="R4" s="156" t="s">
        <v>492</v>
      </c>
      <c r="T4" s="415" t="s">
        <v>499</v>
      </c>
      <c r="U4" s="416"/>
      <c r="V4" s="157" t="s">
        <v>497</v>
      </c>
      <c r="W4" s="155" t="s">
        <v>498</v>
      </c>
      <c r="X4" s="156" t="s">
        <v>492</v>
      </c>
    </row>
    <row r="5" spans="2:24" x14ac:dyDescent="0.25">
      <c r="B5" s="417" t="s">
        <v>500</v>
      </c>
      <c r="C5" s="418"/>
      <c r="D5" s="158">
        <v>2052</v>
      </c>
      <c r="E5" s="158">
        <v>691</v>
      </c>
      <c r="F5" s="159">
        <f>+D5-E5</f>
        <v>1361</v>
      </c>
      <c r="H5" s="417" t="s">
        <v>500</v>
      </c>
      <c r="I5" s="418"/>
      <c r="J5" s="158">
        <v>0</v>
      </c>
      <c r="K5" s="158">
        <v>22704</v>
      </c>
      <c r="L5" s="160">
        <f>(J5/K5)-1</f>
        <v>-1</v>
      </c>
      <c r="N5" s="417" t="s">
        <v>500</v>
      </c>
      <c r="O5" s="418"/>
      <c r="P5" s="158">
        <v>9366</v>
      </c>
      <c r="Q5" s="158">
        <v>5840</v>
      </c>
      <c r="R5" s="159">
        <f>+P5-Q5</f>
        <v>3526</v>
      </c>
      <c r="T5" s="417" t="s">
        <v>500</v>
      </c>
      <c r="U5" s="418"/>
      <c r="V5" s="158">
        <v>137.1</v>
      </c>
      <c r="W5" s="158">
        <v>12.2</v>
      </c>
      <c r="X5" s="159">
        <f>+V5-W5</f>
        <v>124.89999999999999</v>
      </c>
    </row>
    <row r="6" spans="2:24" x14ac:dyDescent="0.25">
      <c r="B6" s="417" t="s">
        <v>501</v>
      </c>
      <c r="C6" s="418"/>
      <c r="D6" s="158">
        <v>2060</v>
      </c>
      <c r="E6" s="158">
        <v>1836</v>
      </c>
      <c r="F6" s="159">
        <f t="shared" ref="F6:F16" si="0">+D6-E6</f>
        <v>224</v>
      </c>
      <c r="H6" s="417" t="s">
        <v>501</v>
      </c>
      <c r="I6" s="418"/>
      <c r="J6" s="158">
        <v>86540</v>
      </c>
      <c r="K6" s="158">
        <v>34068</v>
      </c>
      <c r="L6" s="160">
        <f>(J6/K6)-1</f>
        <v>1.5402136902665258</v>
      </c>
      <c r="N6" s="417" t="s">
        <v>501</v>
      </c>
      <c r="O6" s="418"/>
      <c r="P6" s="158">
        <v>4194</v>
      </c>
      <c r="Q6" s="158">
        <v>9366</v>
      </c>
      <c r="R6" s="161">
        <f t="shared" ref="R6:R16" si="1">+P6-Q6</f>
        <v>-5172</v>
      </c>
      <c r="T6" s="417" t="s">
        <v>501</v>
      </c>
      <c r="U6" s="418"/>
      <c r="V6" s="158">
        <v>78.2</v>
      </c>
      <c r="W6" s="158">
        <v>137.1</v>
      </c>
      <c r="X6" s="161">
        <f t="shared" ref="X6:X16" si="2">+V6-W6</f>
        <v>-58.899999999999991</v>
      </c>
    </row>
    <row r="7" spans="2:24" x14ac:dyDescent="0.25">
      <c r="B7" s="417" t="s">
        <v>502</v>
      </c>
      <c r="C7" s="418"/>
      <c r="D7" s="158">
        <v>2569</v>
      </c>
      <c r="E7" s="158">
        <v>2122</v>
      </c>
      <c r="F7" s="159">
        <f t="shared" si="0"/>
        <v>447</v>
      </c>
      <c r="H7" s="417" t="s">
        <v>502</v>
      </c>
      <c r="I7" s="418"/>
      <c r="J7" s="158">
        <v>79110</v>
      </c>
      <c r="K7" s="158">
        <v>56780</v>
      </c>
      <c r="L7" s="160">
        <f>(J7/K7)-1</f>
        <v>0.39327227897146888</v>
      </c>
      <c r="N7" s="417" t="s">
        <v>502</v>
      </c>
      <c r="O7" s="418"/>
      <c r="P7" s="158">
        <v>2196</v>
      </c>
      <c r="Q7" s="158">
        <v>4194</v>
      </c>
      <c r="R7" s="161">
        <f t="shared" si="1"/>
        <v>-1998</v>
      </c>
      <c r="T7" s="417" t="s">
        <v>502</v>
      </c>
      <c r="U7" s="418"/>
      <c r="V7" s="158">
        <v>186.6</v>
      </c>
      <c r="W7" s="158">
        <v>78.2</v>
      </c>
      <c r="X7" s="159">
        <f t="shared" si="2"/>
        <v>108.39999999999999</v>
      </c>
    </row>
    <row r="8" spans="2:24" x14ac:dyDescent="0.25">
      <c r="B8" s="417" t="s">
        <v>503</v>
      </c>
      <c r="C8" s="418"/>
      <c r="D8" s="158">
        <v>3167</v>
      </c>
      <c r="E8" s="158">
        <v>3037</v>
      </c>
      <c r="F8" s="162">
        <f t="shared" si="0"/>
        <v>130</v>
      </c>
      <c r="H8" s="417" t="s">
        <v>503</v>
      </c>
      <c r="I8" s="418"/>
      <c r="J8" s="158">
        <v>73230</v>
      </c>
      <c r="K8" s="158">
        <v>97850</v>
      </c>
      <c r="L8" s="160">
        <f t="shared" ref="L8:L13" si="3">(J8/K8)-1</f>
        <v>-0.25160960654062337</v>
      </c>
      <c r="N8" s="417" t="s">
        <v>503</v>
      </c>
      <c r="O8" s="418"/>
      <c r="P8" s="158">
        <v>8035</v>
      </c>
      <c r="Q8" s="158">
        <v>4194</v>
      </c>
      <c r="R8" s="159">
        <f t="shared" si="1"/>
        <v>3841</v>
      </c>
      <c r="T8" s="417" t="s">
        <v>503</v>
      </c>
      <c r="U8" s="418"/>
      <c r="V8" s="158">
        <f>+'[3]Sólidos contaminados'!$D$49+'[3]Placas filtrantes'!$D$47+'[3]Otros respel'!$C$19</f>
        <v>127</v>
      </c>
      <c r="W8" s="158">
        <f>+V7</f>
        <v>186.6</v>
      </c>
      <c r="X8" s="159">
        <f t="shared" si="2"/>
        <v>-59.599999999999994</v>
      </c>
    </row>
    <row r="9" spans="2:24" x14ac:dyDescent="0.25">
      <c r="B9" s="417" t="s">
        <v>22</v>
      </c>
      <c r="C9" s="418"/>
      <c r="D9" s="158">
        <v>2399</v>
      </c>
      <c r="E9" s="158">
        <v>2706</v>
      </c>
      <c r="F9" s="162">
        <f t="shared" si="0"/>
        <v>-307</v>
      </c>
      <c r="H9" s="417" t="s">
        <v>22</v>
      </c>
      <c r="I9" s="418"/>
      <c r="J9" s="158">
        <v>106370</v>
      </c>
      <c r="K9" s="158">
        <v>84540</v>
      </c>
      <c r="L9" s="160">
        <f t="shared" si="3"/>
        <v>0.25822096049207466</v>
      </c>
      <c r="N9" s="417" t="s">
        <v>22</v>
      </c>
      <c r="O9" s="418"/>
      <c r="P9" s="158">
        <v>0</v>
      </c>
      <c r="Q9" s="158">
        <v>8035</v>
      </c>
      <c r="R9" s="161">
        <f t="shared" si="1"/>
        <v>-8035</v>
      </c>
      <c r="T9" s="417" t="s">
        <v>22</v>
      </c>
      <c r="U9" s="418"/>
      <c r="V9" s="158">
        <f>+'[3]Sólidos contaminados'!$D$56+'[3]Placas filtrantes'!$D$53+'[3]Otros respel'!$C$22</f>
        <v>24.7</v>
      </c>
      <c r="W9" s="158">
        <v>127</v>
      </c>
      <c r="X9" s="159">
        <f t="shared" si="2"/>
        <v>-102.3</v>
      </c>
    </row>
    <row r="10" spans="2:24" x14ac:dyDescent="0.25">
      <c r="B10" s="417" t="s">
        <v>23</v>
      </c>
      <c r="C10" s="418"/>
      <c r="D10" s="158">
        <v>2028</v>
      </c>
      <c r="E10" s="158">
        <v>2177</v>
      </c>
      <c r="F10" s="162">
        <f t="shared" si="0"/>
        <v>-149</v>
      </c>
      <c r="H10" s="417" t="s">
        <v>23</v>
      </c>
      <c r="I10" s="418"/>
      <c r="J10" s="158">
        <v>93290</v>
      </c>
      <c r="K10" s="158">
        <v>40830</v>
      </c>
      <c r="L10" s="160">
        <f t="shared" si="3"/>
        <v>1.2848395787411215</v>
      </c>
      <c r="N10" s="417" t="s">
        <v>23</v>
      </c>
      <c r="O10" s="418"/>
      <c r="P10" s="158">
        <v>3147</v>
      </c>
      <c r="Q10" s="158">
        <v>0</v>
      </c>
      <c r="R10" s="159">
        <f t="shared" si="1"/>
        <v>3147</v>
      </c>
      <c r="T10" s="417" t="s">
        <v>23</v>
      </c>
      <c r="U10" s="418"/>
      <c r="V10" s="158">
        <f>+'[3]Sólidos contaminados'!$D$64+'[3]Placas filtrantes'!$D$59+'[3]Otros respel'!$C$24</f>
        <v>41.3</v>
      </c>
      <c r="W10" s="158">
        <f>+V9</f>
        <v>24.7</v>
      </c>
      <c r="X10" s="159">
        <f t="shared" si="2"/>
        <v>16.599999999999998</v>
      </c>
    </row>
    <row r="11" spans="2:24" x14ac:dyDescent="0.25">
      <c r="B11" s="417" t="s">
        <v>24</v>
      </c>
      <c r="C11" s="418"/>
      <c r="D11" s="158">
        <v>1762</v>
      </c>
      <c r="E11" s="158">
        <v>2155</v>
      </c>
      <c r="F11" s="162">
        <f t="shared" si="0"/>
        <v>-393</v>
      </c>
      <c r="H11" s="417" t="s">
        <v>24</v>
      </c>
      <c r="I11" s="418"/>
      <c r="J11" s="158">
        <v>97470</v>
      </c>
      <c r="K11" s="158">
        <v>55790</v>
      </c>
      <c r="L11" s="160">
        <f t="shared" si="3"/>
        <v>0.7470872916293243</v>
      </c>
      <c r="N11" s="417" t="s">
        <v>24</v>
      </c>
      <c r="O11" s="418"/>
      <c r="P11" s="158">
        <v>6380</v>
      </c>
      <c r="Q11" s="158">
        <v>3147</v>
      </c>
      <c r="R11" s="159">
        <f t="shared" si="1"/>
        <v>3233</v>
      </c>
      <c r="T11" s="417" t="s">
        <v>24</v>
      </c>
      <c r="U11" s="418"/>
      <c r="V11" s="158">
        <f>+'[3]Sólidos contaminados'!$D$66+'[3]Placas filtrantes'!$D$68+'[3]Otros respel'!$C$26</f>
        <v>217.74999999999997</v>
      </c>
      <c r="W11" s="158">
        <f>+V10</f>
        <v>41.3</v>
      </c>
      <c r="X11" s="159">
        <f t="shared" si="2"/>
        <v>176.45</v>
      </c>
    </row>
    <row r="12" spans="2:24" x14ac:dyDescent="0.25">
      <c r="B12" s="417" t="s">
        <v>504</v>
      </c>
      <c r="C12" s="418"/>
      <c r="D12" s="158">
        <v>1723</v>
      </c>
      <c r="E12" s="158">
        <v>1976</v>
      </c>
      <c r="F12" s="162">
        <f t="shared" si="0"/>
        <v>-253</v>
      </c>
      <c r="H12" s="417" t="s">
        <v>504</v>
      </c>
      <c r="I12" s="418"/>
      <c r="J12" s="158">
        <v>103540</v>
      </c>
      <c r="K12" s="158">
        <v>61840</v>
      </c>
      <c r="L12" s="160">
        <f t="shared" si="3"/>
        <v>0.67432082794307902</v>
      </c>
      <c r="N12" s="417" t="s">
        <v>504</v>
      </c>
      <c r="O12" s="418"/>
      <c r="P12" s="158">
        <v>3517</v>
      </c>
      <c r="Q12" s="158">
        <v>6380</v>
      </c>
      <c r="R12" s="161">
        <f t="shared" si="1"/>
        <v>-2863</v>
      </c>
      <c r="T12" s="417" t="s">
        <v>504</v>
      </c>
      <c r="U12" s="418"/>
      <c r="V12" s="158">
        <f>+'[3]Sólidos contaminados'!$D$69+'[3]Placas filtrantes'!$D$72</f>
        <v>65.25</v>
      </c>
      <c r="W12" s="158">
        <f>+V11</f>
        <v>217.74999999999997</v>
      </c>
      <c r="X12" s="159">
        <f t="shared" si="2"/>
        <v>-152.49999999999997</v>
      </c>
    </row>
    <row r="13" spans="2:24" x14ac:dyDescent="0.25">
      <c r="B13" s="417" t="s">
        <v>505</v>
      </c>
      <c r="C13" s="418"/>
      <c r="D13" s="158">
        <v>2307</v>
      </c>
      <c r="E13" s="158">
        <v>1762</v>
      </c>
      <c r="F13" s="163">
        <f t="shared" si="0"/>
        <v>545</v>
      </c>
      <c r="H13" s="417" t="s">
        <v>505</v>
      </c>
      <c r="I13" s="418"/>
      <c r="J13" s="158">
        <v>72020</v>
      </c>
      <c r="K13" s="158">
        <v>27510</v>
      </c>
      <c r="L13" s="160">
        <f t="shared" si="3"/>
        <v>1.6179571065067249</v>
      </c>
      <c r="N13" s="417" t="s">
        <v>505</v>
      </c>
      <c r="O13" s="418"/>
      <c r="P13" s="158">
        <v>6738</v>
      </c>
      <c r="Q13" s="158">
        <v>3517</v>
      </c>
      <c r="R13" s="159">
        <f t="shared" si="1"/>
        <v>3221</v>
      </c>
      <c r="T13" s="417" t="s">
        <v>505</v>
      </c>
      <c r="U13" s="418"/>
      <c r="V13" s="158">
        <f>+'[3]Sólidos contaminados'!$D$81+'[3]Placas filtrantes'!$D$84+'[3]Otros respel'!$C$28</f>
        <v>221.75</v>
      </c>
      <c r="W13" s="158">
        <f>+V12</f>
        <v>65.25</v>
      </c>
      <c r="X13" s="159">
        <f t="shared" si="2"/>
        <v>156.5</v>
      </c>
    </row>
    <row r="14" spans="2:24" x14ac:dyDescent="0.25">
      <c r="B14" s="417" t="s">
        <v>27</v>
      </c>
      <c r="C14" s="418"/>
      <c r="D14" s="158">
        <v>1434</v>
      </c>
      <c r="E14" s="158">
        <v>1304</v>
      </c>
      <c r="F14" s="162">
        <f t="shared" si="0"/>
        <v>130</v>
      </c>
      <c r="H14" s="417" t="s">
        <v>27</v>
      </c>
      <c r="I14" s="418"/>
      <c r="J14" s="158">
        <v>32100</v>
      </c>
      <c r="K14" s="158">
        <v>2563794</v>
      </c>
      <c r="L14" s="179">
        <f>(J14/K14)</f>
        <v>1.2520506717778417E-2</v>
      </c>
      <c r="N14" s="417" t="s">
        <v>27</v>
      </c>
      <c r="O14" s="418"/>
      <c r="P14" s="158">
        <v>12</v>
      </c>
      <c r="Q14" s="158">
        <v>15</v>
      </c>
      <c r="R14" s="161">
        <f t="shared" si="1"/>
        <v>-3</v>
      </c>
      <c r="T14" s="417" t="s">
        <v>27</v>
      </c>
      <c r="U14" s="418"/>
      <c r="V14" s="158">
        <v>125.7</v>
      </c>
      <c r="W14" s="158">
        <v>221.75</v>
      </c>
      <c r="X14" s="159">
        <f t="shared" si="2"/>
        <v>-96.05</v>
      </c>
    </row>
    <row r="15" spans="2:24" x14ac:dyDescent="0.25">
      <c r="B15" s="417" t="s">
        <v>28</v>
      </c>
      <c r="C15" s="418"/>
      <c r="D15" s="158">
        <v>1428</v>
      </c>
      <c r="E15" s="158">
        <v>1434</v>
      </c>
      <c r="F15" s="162">
        <f t="shared" si="0"/>
        <v>-6</v>
      </c>
      <c r="H15" s="417" t="s">
        <v>28</v>
      </c>
      <c r="I15" s="418"/>
      <c r="J15" s="158">
        <v>62220</v>
      </c>
      <c r="K15" s="158">
        <v>1895460</v>
      </c>
      <c r="L15" s="179">
        <f>(J15/K15)</f>
        <v>3.2825804817827861E-2</v>
      </c>
      <c r="N15" s="417" t="s">
        <v>28</v>
      </c>
      <c r="O15" s="418"/>
      <c r="P15" s="158">
        <v>13</v>
      </c>
      <c r="Q15" s="158">
        <v>12</v>
      </c>
      <c r="R15" s="159">
        <f t="shared" si="1"/>
        <v>1</v>
      </c>
      <c r="T15" s="417" t="s">
        <v>28</v>
      </c>
      <c r="U15" s="418"/>
      <c r="V15" s="158">
        <v>290.25</v>
      </c>
      <c r="W15" s="158">
        <v>125.7</v>
      </c>
      <c r="X15" s="159">
        <f t="shared" si="2"/>
        <v>164.55</v>
      </c>
    </row>
    <row r="16" spans="2:24" ht="15.75" thickBot="1" x14ac:dyDescent="0.3">
      <c r="B16" s="419" t="s">
        <v>29</v>
      </c>
      <c r="C16" s="420"/>
      <c r="D16" s="164">
        <v>1177</v>
      </c>
      <c r="E16" s="164">
        <v>1428</v>
      </c>
      <c r="F16" s="165">
        <f t="shared" si="0"/>
        <v>-251</v>
      </c>
      <c r="H16" s="419" t="s">
        <v>29</v>
      </c>
      <c r="I16" s="420"/>
      <c r="J16" s="164">
        <v>48230</v>
      </c>
      <c r="K16" s="164">
        <v>1551642</v>
      </c>
      <c r="L16" s="179">
        <f>(J16/K16)</f>
        <v>3.108320089298949E-2</v>
      </c>
      <c r="N16" s="419" t="s">
        <v>29</v>
      </c>
      <c r="O16" s="420"/>
      <c r="P16" s="164">
        <v>11.1</v>
      </c>
      <c r="Q16" s="164">
        <v>13</v>
      </c>
      <c r="R16" s="161">
        <f t="shared" si="1"/>
        <v>-1.9000000000000004</v>
      </c>
      <c r="T16" s="419" t="s">
        <v>29</v>
      </c>
      <c r="U16" s="420"/>
      <c r="V16" s="164">
        <v>21.62</v>
      </c>
      <c r="W16" s="164">
        <v>290.25</v>
      </c>
      <c r="X16" s="159">
        <f t="shared" si="2"/>
        <v>-268.63</v>
      </c>
    </row>
    <row r="17" spans="5:24" ht="30" x14ac:dyDescent="0.25">
      <c r="E17" s="178">
        <f>AVERAGE(F5:F16)</f>
        <v>123.16666666666667</v>
      </c>
      <c r="F17" s="166" t="s">
        <v>141</v>
      </c>
      <c r="K17" s="180">
        <f>AVERAGE(L5:L16)</f>
        <v>0.44506097003652428</v>
      </c>
      <c r="L17" s="166" t="s">
        <v>141</v>
      </c>
      <c r="Q17" s="182">
        <f>AVERAGE(R5:R16)</f>
        <v>-91.991666666666674</v>
      </c>
      <c r="R17" s="167" t="s">
        <v>119</v>
      </c>
      <c r="W17" s="183">
        <f>AVERAGE(X5:X17)</f>
        <v>0.78500000000000136</v>
      </c>
      <c r="X17" s="166" t="s">
        <v>141</v>
      </c>
    </row>
  </sheetData>
  <mergeCells count="56">
    <mergeCell ref="B15:C15"/>
    <mergeCell ref="H15:I15"/>
    <mergeCell ref="N15:O15"/>
    <mergeCell ref="T15:U15"/>
    <mergeCell ref="B16:C16"/>
    <mergeCell ref="H16:I16"/>
    <mergeCell ref="N16:O16"/>
    <mergeCell ref="T16:U16"/>
    <mergeCell ref="B13:C13"/>
    <mergeCell ref="H13:I13"/>
    <mergeCell ref="N13:O13"/>
    <mergeCell ref="T13:U13"/>
    <mergeCell ref="B14:C14"/>
    <mergeCell ref="H14:I14"/>
    <mergeCell ref="N14:O14"/>
    <mergeCell ref="T14:U14"/>
    <mergeCell ref="B11:C11"/>
    <mergeCell ref="H11:I11"/>
    <mergeCell ref="N11:O11"/>
    <mergeCell ref="T11:U11"/>
    <mergeCell ref="B12:C12"/>
    <mergeCell ref="H12:I12"/>
    <mergeCell ref="N12:O12"/>
    <mergeCell ref="T12:U12"/>
    <mergeCell ref="B9:C9"/>
    <mergeCell ref="H9:I9"/>
    <mergeCell ref="N9:O9"/>
    <mergeCell ref="T9:U9"/>
    <mergeCell ref="B10:C10"/>
    <mergeCell ref="H10:I10"/>
    <mergeCell ref="N10:O10"/>
    <mergeCell ref="T10:U10"/>
    <mergeCell ref="B7:C7"/>
    <mergeCell ref="H7:I7"/>
    <mergeCell ref="N7:O7"/>
    <mergeCell ref="T7:U7"/>
    <mergeCell ref="B8:C8"/>
    <mergeCell ref="H8:I8"/>
    <mergeCell ref="N8:O8"/>
    <mergeCell ref="T8:U8"/>
    <mergeCell ref="B5:C5"/>
    <mergeCell ref="H5:I5"/>
    <mergeCell ref="N5:O5"/>
    <mergeCell ref="T5:U5"/>
    <mergeCell ref="B6:C6"/>
    <mergeCell ref="H6:I6"/>
    <mergeCell ref="N6:O6"/>
    <mergeCell ref="T6:U6"/>
    <mergeCell ref="B3:F3"/>
    <mergeCell ref="H3:L3"/>
    <mergeCell ref="N3:R3"/>
    <mergeCell ref="T3:X3"/>
    <mergeCell ref="B4:C4"/>
    <mergeCell ref="H4:I4"/>
    <mergeCell ref="N4:O4"/>
    <mergeCell ref="T4:U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3" sqref="C23"/>
    </sheetView>
  </sheetViews>
  <sheetFormatPr baseColWidth="10" defaultRowHeight="15" x14ac:dyDescent="0.25"/>
  <cols>
    <col min="3" max="3" width="15.28515625" customWidth="1"/>
  </cols>
  <sheetData>
    <row r="1" spans="1:3" x14ac:dyDescent="0.25">
      <c r="A1" s="173"/>
    </row>
    <row r="2" spans="1:3" x14ac:dyDescent="0.25">
      <c r="A2" s="173" t="s">
        <v>500</v>
      </c>
      <c r="B2">
        <f>+MIP!P82</f>
        <v>511.274</v>
      </c>
    </row>
    <row r="3" spans="1:3" x14ac:dyDescent="0.25">
      <c r="A3" t="s">
        <v>19</v>
      </c>
      <c r="B3">
        <f>+MIP!R82</f>
        <v>-307.15100000000007</v>
      </c>
    </row>
    <row r="4" spans="1:3" x14ac:dyDescent="0.25">
      <c r="A4" s="173" t="s">
        <v>20</v>
      </c>
      <c r="B4">
        <f>+MIP!T82</f>
        <v>-263.02400000000011</v>
      </c>
    </row>
    <row r="5" spans="1:3" x14ac:dyDescent="0.25">
      <c r="A5" t="s">
        <v>21</v>
      </c>
      <c r="B5">
        <f>+MIP!V82</f>
        <v>0</v>
      </c>
      <c r="C5" s="173"/>
    </row>
    <row r="6" spans="1:3" x14ac:dyDescent="0.25">
      <c r="A6" s="173" t="s">
        <v>22</v>
      </c>
      <c r="B6">
        <f>+MIP!X82</f>
        <v>0</v>
      </c>
    </row>
    <row r="7" spans="1:3" x14ac:dyDescent="0.25">
      <c r="A7" t="s">
        <v>23</v>
      </c>
      <c r="B7">
        <f>+MIP!Z82</f>
        <v>0</v>
      </c>
    </row>
    <row r="8" spans="1:3" x14ac:dyDescent="0.25">
      <c r="A8" s="173" t="s">
        <v>24</v>
      </c>
      <c r="B8" s="174">
        <f>+MIP!AB82</f>
        <v>0</v>
      </c>
    </row>
    <row r="9" spans="1:3" x14ac:dyDescent="0.25">
      <c r="A9" t="s">
        <v>25</v>
      </c>
      <c r="B9" s="174">
        <f>+MIP!AD82</f>
        <v>0</v>
      </c>
    </row>
    <row r="10" spans="1:3" x14ac:dyDescent="0.25">
      <c r="A10" s="173" t="s">
        <v>26</v>
      </c>
      <c r="B10" s="174">
        <f>+MIP!AF82</f>
        <v>0</v>
      </c>
    </row>
    <row r="11" spans="1:3" x14ac:dyDescent="0.25">
      <c r="A11" t="s">
        <v>27</v>
      </c>
      <c r="B11" s="174">
        <f>+MIP!AH82</f>
        <v>0</v>
      </c>
    </row>
    <row r="12" spans="1:3" x14ac:dyDescent="0.25">
      <c r="A12" s="173" t="s">
        <v>28</v>
      </c>
      <c r="B12" s="175">
        <f>+MIP!AJ82</f>
        <v>0</v>
      </c>
    </row>
    <row r="13" spans="1:3" x14ac:dyDescent="0.25">
      <c r="A13" t="s">
        <v>29</v>
      </c>
      <c r="B13" s="174">
        <f>+MIP!AL82</f>
        <v>0</v>
      </c>
    </row>
    <row r="14" spans="1:3" x14ac:dyDescent="0.25">
      <c r="B14" s="176">
        <f>AVERAGE(B2:B13)</f>
        <v>-4.9084166666666817</v>
      </c>
      <c r="C14" s="177"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workbookViewId="0">
      <selection activeCell="D11" sqref="D11:D12"/>
    </sheetView>
  </sheetViews>
  <sheetFormatPr baseColWidth="10" defaultRowHeight="15" x14ac:dyDescent="0.25"/>
  <cols>
    <col min="2" max="2" width="22.28515625" customWidth="1"/>
    <col min="3" max="3" width="18.7109375" customWidth="1"/>
    <col min="4" max="4" width="25.85546875" bestFit="1" customWidth="1"/>
  </cols>
  <sheetData>
    <row r="2" spans="2:7" ht="15.75" thickBot="1" x14ac:dyDescent="0.3"/>
    <row r="3" spans="2:7" ht="31.5" x14ac:dyDescent="0.25">
      <c r="B3" s="253" t="s">
        <v>691</v>
      </c>
      <c r="C3" s="254" t="s">
        <v>692</v>
      </c>
      <c r="D3" s="255" t="s">
        <v>693</v>
      </c>
      <c r="E3" s="256" t="s">
        <v>694</v>
      </c>
      <c r="F3" s="257"/>
    </row>
    <row r="4" spans="2:7" ht="15.75" x14ac:dyDescent="0.25">
      <c r="B4" s="258" t="s">
        <v>695</v>
      </c>
      <c r="C4" s="259">
        <v>79166</v>
      </c>
      <c r="D4" s="260"/>
      <c r="E4" s="261"/>
      <c r="F4" s="257"/>
    </row>
    <row r="5" spans="2:7" ht="15.75" x14ac:dyDescent="0.25">
      <c r="B5" s="258" t="s">
        <v>696</v>
      </c>
      <c r="C5" s="259">
        <v>94999</v>
      </c>
      <c r="D5" s="260">
        <f>(C5-C4)</f>
        <v>15833</v>
      </c>
      <c r="E5" s="262">
        <f>((C5/C4)-1)</f>
        <v>0.19999747366293619</v>
      </c>
      <c r="F5" s="257"/>
      <c r="G5" s="263"/>
    </row>
    <row r="6" spans="2:7" ht="15.75" x14ac:dyDescent="0.25">
      <c r="B6" s="258" t="s">
        <v>697</v>
      </c>
      <c r="C6" s="259">
        <v>151998</v>
      </c>
      <c r="D6" s="260">
        <f t="shared" ref="D6:D7" si="0">(C6-C5)</f>
        <v>56999</v>
      </c>
      <c r="E6" s="262">
        <f t="shared" ref="E6:E7" si="1">((C6/C5)-1)</f>
        <v>0.59999578942936238</v>
      </c>
      <c r="F6" s="257"/>
    </row>
    <row r="7" spans="2:7" ht="16.5" thickBot="1" x14ac:dyDescent="0.3">
      <c r="B7" s="264" t="s">
        <v>698</v>
      </c>
      <c r="C7" s="265">
        <v>276636</v>
      </c>
      <c r="D7" s="266">
        <f t="shared" si="0"/>
        <v>124638</v>
      </c>
      <c r="E7" s="267">
        <f t="shared" si="1"/>
        <v>0.81999763154778349</v>
      </c>
      <c r="F7" s="257"/>
    </row>
    <row r="8" spans="2:7" ht="16.5" thickBot="1" x14ac:dyDescent="0.3">
      <c r="B8" s="268"/>
      <c r="C8" s="268"/>
      <c r="D8" s="268"/>
      <c r="E8" s="257"/>
      <c r="F8" s="257"/>
    </row>
    <row r="9" spans="2:7" ht="15.75" x14ac:dyDescent="0.25">
      <c r="B9" s="421" t="s">
        <v>699</v>
      </c>
      <c r="C9" s="422"/>
      <c r="D9" s="425" t="s">
        <v>492</v>
      </c>
      <c r="E9" s="257"/>
      <c r="F9" s="257"/>
    </row>
    <row r="10" spans="2:7" ht="15.75" x14ac:dyDescent="0.25">
      <c r="B10" s="423"/>
      <c r="C10" s="424"/>
      <c r="D10" s="426"/>
      <c r="E10" s="257"/>
      <c r="F10" s="257"/>
    </row>
    <row r="11" spans="2:7" ht="47.25" x14ac:dyDescent="0.25">
      <c r="B11" s="269" t="s">
        <v>700</v>
      </c>
      <c r="C11" s="270" t="s">
        <v>701</v>
      </c>
      <c r="D11" s="427">
        <f>(B12/C12)</f>
        <v>0.8</v>
      </c>
      <c r="E11" s="257"/>
      <c r="F11" s="257"/>
    </row>
    <row r="12" spans="2:7" ht="16.5" thickBot="1" x14ac:dyDescent="0.3">
      <c r="B12" s="271">
        <v>64</v>
      </c>
      <c r="C12" s="272">
        <v>80</v>
      </c>
      <c r="D12" s="428"/>
      <c r="E12" s="257"/>
      <c r="F12" s="257"/>
    </row>
    <row r="13" spans="2:7" x14ac:dyDescent="0.25">
      <c r="B13" s="234"/>
      <c r="C13" s="273"/>
      <c r="D13" s="234"/>
    </row>
    <row r="14" spans="2:7" x14ac:dyDescent="0.25">
      <c r="B14" s="234"/>
      <c r="C14" s="273"/>
      <c r="D14" s="234"/>
    </row>
  </sheetData>
  <mergeCells count="3">
    <mergeCell ref="B9:C10"/>
    <mergeCell ref="D9:D10"/>
    <mergeCell ref="D11:D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MIP</vt:lpstr>
      <vt:lpstr>INFORMACIÓN ADICIONAL</vt:lpstr>
      <vt:lpstr>PROMEDIO CONSUMO DE AGUA</vt:lpstr>
      <vt:lpstr>INFORMACIÓN ADICIONAL CI</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Daniel Linares Admin</cp:lastModifiedBy>
  <dcterms:created xsi:type="dcterms:W3CDTF">2019-12-12T19:25:24Z</dcterms:created>
  <dcterms:modified xsi:type="dcterms:W3CDTF">2020-07-22T18:16:27Z</dcterms:modified>
</cp:coreProperties>
</file>