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
    </mc:Choice>
  </mc:AlternateContent>
  <bookViews>
    <workbookView xWindow="0" yWindow="0" windowWidth="28800" windowHeight="12435"/>
  </bookViews>
  <sheets>
    <sheet name="MIP" sheetId="1" r:id="rId1"/>
    <sheet name="INFORMACIÓN ADICIONAL" sheetId="2" r:id="rId2"/>
  </sheets>
  <externalReferences>
    <externalReference r:id="rId3"/>
    <externalReference r:id="rId4"/>
    <externalReference r:id="rId5"/>
    <externalReference r:id="rId6"/>
  </externalReferences>
  <definedNames>
    <definedName name="_xlnm._FilterDatabase" localSheetId="0" hidden="1">MIP!$A$4:$AS$101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29" i="1" l="1"/>
  <c r="F16" i="2" l="1"/>
  <c r="F15" i="2"/>
  <c r="F14" i="2"/>
  <c r="V13" i="2"/>
  <c r="L13" i="2"/>
  <c r="F13" i="2"/>
  <c r="V12" i="2"/>
  <c r="W13" i="2" s="1"/>
  <c r="L12" i="2"/>
  <c r="F12" i="2"/>
  <c r="V11" i="2"/>
  <c r="W12" i="2" s="1"/>
  <c r="L11" i="2"/>
  <c r="F11" i="2"/>
  <c r="V10" i="2"/>
  <c r="L10" i="2"/>
  <c r="F10" i="2"/>
  <c r="V9" i="2"/>
  <c r="X9" i="2" s="1"/>
  <c r="L9" i="2"/>
  <c r="F9" i="2"/>
  <c r="W8" i="2"/>
  <c r="V8" i="2"/>
  <c r="L8" i="2"/>
  <c r="F8" i="2"/>
  <c r="X7" i="2"/>
  <c r="R7" i="2"/>
  <c r="L7" i="2"/>
  <c r="F7" i="2"/>
  <c r="X6" i="2"/>
  <c r="R6" i="2"/>
  <c r="L6" i="2"/>
  <c r="F6" i="2"/>
  <c r="X5" i="2"/>
  <c r="R5" i="2"/>
  <c r="L5" i="2"/>
  <c r="F5" i="2"/>
  <c r="X13" i="2" l="1"/>
  <c r="W10" i="2"/>
  <c r="X10" i="2" s="1"/>
  <c r="X8" i="2"/>
  <c r="X12" i="2"/>
  <c r="W11" i="2"/>
  <c r="X11" i="2" s="1"/>
  <c r="C107" i="1" l="1"/>
  <c r="Y101" i="1"/>
  <c r="Y100" i="1"/>
  <c r="Y99" i="1"/>
  <c r="AS98" i="1"/>
  <c r="AE98" i="1"/>
  <c r="AC98" i="1"/>
  <c r="AA98" i="1"/>
  <c r="Y98" i="1"/>
  <c r="W98" i="1"/>
  <c r="U98" i="1"/>
  <c r="S98" i="1"/>
  <c r="Q98" i="1"/>
  <c r="O98" i="1"/>
  <c r="AS94" i="1"/>
  <c r="AS92" i="1"/>
  <c r="AC89" i="1"/>
  <c r="AA89" i="1"/>
  <c r="Y89" i="1"/>
  <c r="W89" i="1"/>
  <c r="U89" i="1"/>
  <c r="S89" i="1"/>
  <c r="Q89" i="1"/>
  <c r="O89" i="1"/>
  <c r="AE88" i="1"/>
  <c r="AS88" i="1" s="1"/>
  <c r="AC88" i="1"/>
  <c r="Y88" i="1"/>
  <c r="W88" i="1"/>
  <c r="U88" i="1"/>
  <c r="S88" i="1"/>
  <c r="Q88" i="1"/>
  <c r="O88" i="1"/>
  <c r="AE86" i="1"/>
  <c r="AC86" i="1"/>
  <c r="S86" i="1"/>
  <c r="Q86" i="1"/>
  <c r="O86" i="1"/>
  <c r="AE85" i="1"/>
  <c r="AC85" i="1"/>
  <c r="Y85" i="1"/>
  <c r="U85" i="1"/>
  <c r="S85" i="1"/>
  <c r="Q85" i="1"/>
  <c r="O85" i="1"/>
  <c r="AS84" i="1"/>
  <c r="AE84" i="1"/>
  <c r="AC84" i="1"/>
  <c r="AA84" i="1"/>
  <c r="Y84" i="1"/>
  <c r="W84" i="1"/>
  <c r="U84" i="1"/>
  <c r="S84" i="1"/>
  <c r="Q84" i="1"/>
  <c r="O84" i="1"/>
  <c r="AS83" i="1"/>
  <c r="AE83" i="1"/>
  <c r="AC83" i="1"/>
  <c r="AA83" i="1"/>
  <c r="Y83" i="1"/>
  <c r="W83" i="1"/>
  <c r="U83" i="1"/>
  <c r="S83" i="1"/>
  <c r="Q83" i="1"/>
  <c r="O83" i="1"/>
  <c r="AE82" i="1"/>
  <c r="AC82" i="1"/>
  <c r="AA82" i="1"/>
  <c r="Y82" i="1"/>
  <c r="W82" i="1"/>
  <c r="U82" i="1"/>
  <c r="S82" i="1"/>
  <c r="Q82" i="1"/>
  <c r="O82" i="1"/>
  <c r="AS81" i="1"/>
  <c r="AE81" i="1"/>
  <c r="AC81" i="1"/>
  <c r="AA81" i="1"/>
  <c r="Y81" i="1"/>
  <c r="W81" i="1"/>
  <c r="U81" i="1"/>
  <c r="S81" i="1"/>
  <c r="Q81" i="1"/>
  <c r="O81" i="1"/>
  <c r="AS80" i="1"/>
  <c r="AE80" i="1"/>
  <c r="AC80" i="1"/>
  <c r="AA80" i="1"/>
  <c r="Y80" i="1"/>
  <c r="W80" i="1"/>
  <c r="U80" i="1"/>
  <c r="S80" i="1"/>
  <c r="Q80" i="1"/>
  <c r="O80" i="1"/>
  <c r="AE79" i="1"/>
  <c r="AS79" i="1" s="1"/>
  <c r="AC79" i="1"/>
  <c r="AA79" i="1"/>
  <c r="Y79" i="1"/>
  <c r="W79" i="1"/>
  <c r="U79" i="1"/>
  <c r="S79" i="1"/>
  <c r="Q79" i="1"/>
  <c r="O79" i="1"/>
  <c r="AS76" i="1"/>
  <c r="AE76" i="1"/>
  <c r="AC76" i="1"/>
  <c r="AA76" i="1"/>
  <c r="Y76" i="1"/>
  <c r="W76" i="1"/>
  <c r="U76" i="1"/>
  <c r="S76" i="1"/>
  <c r="Q76" i="1"/>
  <c r="AS75" i="1"/>
  <c r="AS74" i="1"/>
  <c r="AE73" i="1"/>
  <c r="AS73" i="1" s="1"/>
  <c r="Y73" i="1"/>
  <c r="AE72" i="1"/>
  <c r="AC72" i="1"/>
  <c r="AA72" i="1"/>
  <c r="W72" i="1"/>
  <c r="Y71" i="1"/>
  <c r="Y70" i="1"/>
  <c r="Y69" i="1"/>
  <c r="AE68" i="1"/>
  <c r="AS68" i="1" s="1"/>
  <c r="AC68" i="1"/>
  <c r="AA68" i="1"/>
  <c r="Y68" i="1"/>
  <c r="W68" i="1"/>
  <c r="U68" i="1"/>
  <c r="AE67" i="1"/>
  <c r="AS67" i="1" s="1"/>
  <c r="AC67" i="1"/>
  <c r="AA67" i="1"/>
  <c r="Y67" i="1"/>
  <c r="W67" i="1"/>
  <c r="U67" i="1"/>
  <c r="S67" i="1"/>
  <c r="Q67" i="1"/>
  <c r="O67" i="1"/>
  <c r="AS66" i="1"/>
  <c r="Y65" i="1"/>
  <c r="W65" i="1"/>
  <c r="U65" i="1"/>
  <c r="S65" i="1"/>
  <c r="Q65" i="1"/>
  <c r="O65" i="1"/>
  <c r="Y64" i="1"/>
  <c r="W64" i="1"/>
  <c r="U64" i="1"/>
  <c r="S64" i="1"/>
  <c r="Q64" i="1"/>
  <c r="O64" i="1"/>
  <c r="AE63" i="1"/>
  <c r="AS63" i="1" s="1"/>
  <c r="AC63" i="1"/>
  <c r="AA63" i="1"/>
  <c r="Y63" i="1"/>
  <c r="W63" i="1"/>
  <c r="U63" i="1"/>
  <c r="S63" i="1"/>
  <c r="Q63" i="1"/>
  <c r="O63" i="1"/>
  <c r="AE62" i="1"/>
  <c r="AS62" i="1" s="1"/>
  <c r="AC62" i="1"/>
  <c r="AA62" i="1"/>
  <c r="Y62" i="1"/>
  <c r="W62" i="1"/>
  <c r="U62" i="1"/>
  <c r="S62" i="1"/>
  <c r="Q62" i="1"/>
  <c r="O62" i="1"/>
  <c r="AS61" i="1"/>
  <c r="AE61" i="1"/>
  <c r="AC61" i="1"/>
  <c r="AA61" i="1"/>
  <c r="Y61" i="1"/>
  <c r="W61" i="1"/>
  <c r="U61" i="1"/>
  <c r="S61" i="1"/>
  <c r="Q61" i="1"/>
  <c r="O61" i="1"/>
  <c r="AS60" i="1"/>
  <c r="AE60" i="1"/>
  <c r="AC60" i="1"/>
  <c r="AA60" i="1"/>
  <c r="Y60" i="1"/>
  <c r="W60" i="1"/>
  <c r="U60" i="1"/>
  <c r="S60" i="1"/>
  <c r="Q60" i="1"/>
  <c r="O60" i="1"/>
  <c r="AS59" i="1"/>
  <c r="AE59" i="1"/>
  <c r="AC59" i="1"/>
  <c r="AA59" i="1"/>
  <c r="Y59" i="1"/>
  <c r="W59" i="1"/>
  <c r="U59" i="1"/>
  <c r="S59" i="1"/>
  <c r="Q59" i="1"/>
  <c r="Y58" i="1"/>
  <c r="Y57" i="1"/>
  <c r="S57" i="1"/>
  <c r="AS56" i="1"/>
  <c r="S55" i="1"/>
  <c r="Q55" i="1"/>
  <c r="O55" i="1"/>
  <c r="AE54" i="1"/>
  <c r="AS54" i="1" s="1"/>
  <c r="AC54" i="1"/>
  <c r="AA54" i="1"/>
  <c r="Y54" i="1"/>
  <c r="W54" i="1"/>
  <c r="U54" i="1"/>
  <c r="O54" i="1"/>
  <c r="AE53" i="1"/>
  <c r="AS53" i="1" s="1"/>
  <c r="Y53" i="1"/>
  <c r="S53" i="1"/>
  <c r="AS52" i="1"/>
  <c r="AE52" i="1"/>
  <c r="Y52" i="1"/>
  <c r="S52" i="1"/>
  <c r="AS51" i="1"/>
  <c r="AE51" i="1"/>
  <c r="AC51" i="1"/>
  <c r="AA51" i="1"/>
  <c r="Y51" i="1"/>
  <c r="W51" i="1"/>
  <c r="U51" i="1"/>
  <c r="S51" i="1"/>
  <c r="Q51" i="1"/>
  <c r="O51" i="1"/>
  <c r="AE50" i="1"/>
  <c r="AS50" i="1" s="1"/>
  <c r="AC50" i="1"/>
  <c r="AA50" i="1"/>
  <c r="Y50" i="1"/>
  <c r="W50" i="1"/>
  <c r="U50" i="1"/>
  <c r="S50" i="1"/>
  <c r="Q50" i="1"/>
  <c r="O50" i="1"/>
  <c r="AS49" i="1"/>
  <c r="AE49" i="1"/>
  <c r="AC49" i="1"/>
  <c r="AA49" i="1"/>
  <c r="Y49" i="1"/>
  <c r="W49" i="1"/>
  <c r="U49" i="1"/>
  <c r="S49" i="1"/>
  <c r="Q49" i="1"/>
  <c r="O49" i="1"/>
  <c r="AS48" i="1"/>
  <c r="AE48" i="1"/>
  <c r="AC48" i="1"/>
  <c r="AA48" i="1"/>
  <c r="Y48" i="1"/>
  <c r="W48" i="1"/>
  <c r="U48" i="1"/>
  <c r="S48" i="1"/>
  <c r="Q48" i="1"/>
  <c r="O48" i="1"/>
  <c r="AE47" i="1"/>
  <c r="AE45" i="1"/>
  <c r="AS45" i="1" s="1"/>
  <c r="AC45" i="1"/>
  <c r="AA45" i="1"/>
  <c r="Y45" i="1"/>
  <c r="S45" i="1"/>
  <c r="Q45" i="1"/>
  <c r="O45" i="1"/>
  <c r="AE44" i="1"/>
  <c r="AS44" i="1" s="1"/>
  <c r="AE43" i="1"/>
  <c r="AS42" i="1"/>
  <c r="AE42" i="1"/>
  <c r="AS41" i="1"/>
  <c r="AE41" i="1"/>
  <c r="AE40" i="1"/>
  <c r="AS40" i="1" s="1"/>
  <c r="AS39" i="1"/>
  <c r="AE38" i="1"/>
  <c r="AS38" i="1" s="1"/>
  <c r="Y38" i="1"/>
  <c r="S38" i="1"/>
  <c r="Y37" i="1"/>
  <c r="AE36" i="1"/>
  <c r="AS36" i="1" s="1"/>
  <c r="AC36" i="1"/>
  <c r="AA36" i="1"/>
  <c r="Y36" i="1"/>
  <c r="W36" i="1"/>
  <c r="U36" i="1"/>
  <c r="S36" i="1"/>
  <c r="Q36" i="1"/>
  <c r="O36" i="1"/>
  <c r="AE35" i="1"/>
  <c r="AC35" i="1"/>
  <c r="AS35" i="1" s="1"/>
  <c r="AA35" i="1"/>
  <c r="Y35" i="1"/>
  <c r="W35" i="1"/>
  <c r="U35" i="1"/>
  <c r="S35" i="1"/>
  <c r="Q35" i="1"/>
  <c r="O35" i="1"/>
  <c r="AS34" i="1"/>
  <c r="S34" i="1"/>
  <c r="AS33" i="1"/>
  <c r="S33" i="1"/>
  <c r="AS32" i="1"/>
  <c r="S32" i="1"/>
  <c r="AS31" i="1"/>
  <c r="S31" i="1"/>
  <c r="Q31" i="1"/>
  <c r="O31" i="1"/>
  <c r="AS30" i="1"/>
  <c r="S30" i="1"/>
  <c r="Q30" i="1"/>
  <c r="O30" i="1"/>
  <c r="AS29" i="1"/>
  <c r="S29" i="1"/>
  <c r="Q29" i="1"/>
  <c r="O29" i="1"/>
  <c r="AS28" i="1"/>
  <c r="S27" i="1"/>
  <c r="AS26" i="1"/>
  <c r="AE26" i="1"/>
  <c r="AC26" i="1"/>
  <c r="AA26" i="1"/>
  <c r="Y26" i="1"/>
  <c r="W26" i="1"/>
  <c r="U26" i="1"/>
  <c r="S26" i="1"/>
  <c r="Q26" i="1"/>
  <c r="O26" i="1"/>
  <c r="AE25" i="1"/>
  <c r="AS25" i="1" s="1"/>
  <c r="AC25" i="1"/>
  <c r="AA25" i="1"/>
  <c r="O25" i="1"/>
  <c r="AE23" i="1"/>
  <c r="AC23" i="1"/>
  <c r="AA23" i="1"/>
  <c r="Y23" i="1"/>
  <c r="U23" i="1"/>
  <c r="S23" i="1"/>
  <c r="Q23" i="1"/>
  <c r="AS22" i="1"/>
  <c r="AE22" i="1"/>
  <c r="AC22" i="1"/>
  <c r="AA22" i="1"/>
  <c r="Y22" i="1"/>
  <c r="W22" i="1"/>
  <c r="U22" i="1"/>
  <c r="S22" i="1"/>
  <c r="Q22" i="1"/>
  <c r="O22" i="1"/>
  <c r="AN21" i="1"/>
  <c r="AE21" i="1"/>
  <c r="AS21" i="1" s="1"/>
  <c r="AC21" i="1"/>
  <c r="AA21" i="1"/>
  <c r="Y21" i="1"/>
  <c r="W21" i="1"/>
  <c r="U21" i="1"/>
  <c r="S21" i="1"/>
  <c r="Q21" i="1"/>
  <c r="O21" i="1"/>
  <c r="AE20" i="1"/>
  <c r="AS20" i="1" s="1"/>
  <c r="AC20" i="1"/>
  <c r="AA20" i="1"/>
  <c r="Y20" i="1"/>
  <c r="W20" i="1"/>
  <c r="U20" i="1"/>
  <c r="S20" i="1"/>
  <c r="Q20" i="1"/>
  <c r="O20" i="1"/>
  <c r="AS19" i="1"/>
  <c r="AE19" i="1"/>
  <c r="AC19" i="1"/>
  <c r="AA19" i="1"/>
  <c r="Y19" i="1"/>
  <c r="W19" i="1"/>
  <c r="U19" i="1"/>
  <c r="S19" i="1"/>
  <c r="Q19" i="1"/>
  <c r="O19" i="1"/>
  <c r="AS18" i="1"/>
  <c r="AE18" i="1"/>
  <c r="Y17" i="1"/>
  <c r="W17" i="1"/>
  <c r="U17" i="1"/>
  <c r="S17" i="1"/>
  <c r="Q17" i="1"/>
  <c r="O17" i="1"/>
  <c r="AE16" i="1"/>
  <c r="AC16" i="1"/>
  <c r="AA16" i="1"/>
  <c r="AS16" i="1" s="1"/>
  <c r="Y16" i="1"/>
  <c r="W16" i="1"/>
  <c r="U16" i="1"/>
  <c r="S16" i="1"/>
  <c r="Q16" i="1"/>
  <c r="O16" i="1"/>
  <c r="AE15" i="1"/>
  <c r="AS15" i="1" s="1"/>
  <c r="AS14" i="1"/>
  <c r="AS13" i="1"/>
  <c r="AE13" i="1"/>
  <c r="AC13" i="1"/>
  <c r="AA13" i="1"/>
  <c r="Y13" i="1"/>
  <c r="W13" i="1"/>
  <c r="U13" i="1"/>
  <c r="S13" i="1"/>
  <c r="Q13" i="1"/>
  <c r="O13" i="1"/>
  <c r="AS12" i="1"/>
  <c r="AE12" i="1"/>
  <c r="AC12" i="1"/>
  <c r="AA12" i="1"/>
  <c r="Y12" i="1"/>
  <c r="W12" i="1"/>
  <c r="U12" i="1"/>
  <c r="S12" i="1"/>
  <c r="Q12" i="1"/>
  <c r="O12" i="1"/>
  <c r="AE11" i="1"/>
  <c r="AS11" i="1" s="1"/>
  <c r="Y11" i="1"/>
  <c r="W11" i="1"/>
  <c r="U11" i="1"/>
  <c r="S11" i="1"/>
  <c r="AS10" i="1"/>
  <c r="AE10" i="1"/>
  <c r="AC10" i="1"/>
  <c r="AA10" i="1"/>
  <c r="S10" i="1"/>
  <c r="Q10" i="1"/>
  <c r="O10" i="1"/>
  <c r="AE9" i="1"/>
  <c r="AS9" i="1" s="1"/>
  <c r="AC9" i="1"/>
  <c r="AA9" i="1"/>
  <c r="S9" i="1"/>
  <c r="Q9" i="1"/>
  <c r="AS8" i="1"/>
  <c r="AS7" i="1"/>
  <c r="AE6" i="1"/>
  <c r="AS6" i="1" s="1"/>
  <c r="AC6" i="1"/>
  <c r="AA6" i="1"/>
  <c r="Y6" i="1"/>
  <c r="W6" i="1"/>
  <c r="U6" i="1"/>
  <c r="S6" i="1"/>
  <c r="Q6" i="1"/>
  <c r="O6" i="1"/>
  <c r="AS5" i="1"/>
  <c r="AE5" i="1"/>
  <c r="AC5" i="1"/>
  <c r="AA5" i="1"/>
  <c r="Y5" i="1"/>
  <c r="W5" i="1"/>
  <c r="U5" i="1"/>
  <c r="S5" i="1"/>
  <c r="Q5" i="1"/>
  <c r="O5" i="1"/>
</calcChain>
</file>

<file path=xl/comments1.xml><?xml version="1.0" encoding="utf-8"?>
<comments xmlns="http://schemas.openxmlformats.org/spreadsheetml/2006/main">
  <authors>
    <author>Diana Alessandra Blanco Bernal</author>
    <author>Administrador</author>
    <author>Ana Maria Gutierrez Gonzalez</author>
    <author>Yenny Maryori Ortiz Ramos</author>
    <author>Maria Mayerling Moya Contreras</author>
  </authors>
  <commentList>
    <comment ref="Q6" authorId="0" shapeId="0">
      <text>
        <r>
          <rPr>
            <b/>
            <sz val="9"/>
            <color indexed="81"/>
            <rFont val="Tahoma"/>
            <family val="2"/>
          </rPr>
          <t>Diana Alessandra Blanco Bernal:</t>
        </r>
        <r>
          <rPr>
            <sz val="9"/>
            <color indexed="81"/>
            <rFont val="Tahoma"/>
            <family val="2"/>
          </rPr>
          <t xml:space="preserve">
Se sugiere nuevamente teniendo en cuenta reportes precedentes atender los criterios establecidos, y generar la aplicabilidad a la fórmula establecida por el Macro Proceso Direccionamiento Estratégico, lo anterior teniendo en cuenta que la gestión de análisis de Indicadores de gestión por procesos requiere validar los mismos, y posterior solicitar la información soporte de los resultados reportados para el corte que se efectúen los análisis. </t>
        </r>
      </text>
    </comment>
    <comment ref="S6" authorId="0" shapeId="0">
      <text>
        <r>
          <rPr>
            <b/>
            <sz val="9"/>
            <color indexed="81"/>
            <rFont val="Tahoma"/>
            <family val="2"/>
          </rPr>
          <t>Diana Alessandra Blanco Bernal:</t>
        </r>
        <r>
          <rPr>
            <sz val="9"/>
            <color indexed="81"/>
            <rFont val="Tahoma"/>
            <family val="2"/>
          </rPr>
          <t xml:space="preserve">
Se sugiere nuevamente teniendo en cuenta reportes precedentes atender los criterios establecidos, y generar la aplicabilidad a la fórmula establecida por el Macro Proceso Direccionamiento Estratégico, lo anterior teniendo en cuenta que la gestión de análisis de Indicadores de gestión por procesos requiere validar los mismos, y posterior solicitar la información soporte de los resultados reportados para el corte que se efectúen los análisis. </t>
        </r>
      </text>
    </comment>
    <comment ref="S7" authorId="0" shapeId="0">
      <text>
        <r>
          <rPr>
            <b/>
            <sz val="9"/>
            <color indexed="81"/>
            <rFont val="Tahoma"/>
            <family val="2"/>
          </rPr>
          <t>Diana Alessandra Blanco Bernal:</t>
        </r>
        <r>
          <rPr>
            <sz val="9"/>
            <color indexed="81"/>
            <rFont val="Tahoma"/>
            <family val="2"/>
          </rPr>
          <t xml:space="preserve">
Se sugiere nuevamente teniendo en cuenta reportes precedentes atender los criterios establecidos, y generar la aplicabilidad a la fórmula establecida por el Macro Proceso Direccionamiento Estratégico, lo anterior teniendo en cuenta que la gestión de análisis de Indicadores de gestión por procesos requiere validar los mismos, y posterior solicitar la información soporte de los resultados reportados para el corte que se efectúen los análisis. </t>
        </r>
      </text>
    </comment>
    <comment ref="Y7" authorId="0" shapeId="0">
      <text>
        <r>
          <rPr>
            <b/>
            <sz val="9"/>
            <color indexed="81"/>
            <rFont val="Tahoma"/>
            <family val="2"/>
          </rPr>
          <t>Diana Alessandra Blanco Bernal:</t>
        </r>
        <r>
          <rPr>
            <sz val="9"/>
            <color indexed="81"/>
            <rFont val="Tahoma"/>
            <family val="2"/>
          </rPr>
          <t xml:space="preserve">
No se logra nueva,ente efectuar medición, lo anterior teniendo en cuenta que no se reporta los resultados de acuerdo a los criterios establecidos.</t>
        </r>
      </text>
    </comment>
    <comment ref="Z7" authorId="0" shapeId="0">
      <text>
        <r>
          <rPr>
            <b/>
            <sz val="9"/>
            <color indexed="81"/>
            <rFont val="Tahoma"/>
            <family val="2"/>
          </rPr>
          <t>Diana Alessandra Blanco Bernal:</t>
        </r>
        <r>
          <rPr>
            <sz val="9"/>
            <color indexed="81"/>
            <rFont val="Tahoma"/>
            <family val="2"/>
          </rPr>
          <t xml:space="preserve">
No se logra nueva,ente efectuar medición, lo anterior teniendo en cuenta que no se reporta los resultados de acuerdo a los criterios establecidos.</t>
        </r>
      </text>
    </comment>
    <comment ref="AF7" authorId="0" shapeId="0">
      <text>
        <r>
          <rPr>
            <b/>
            <sz val="9"/>
            <color indexed="81"/>
            <rFont val="Tahoma"/>
            <family val="2"/>
          </rPr>
          <t>Diana Alessandra Blanco Bernal:</t>
        </r>
        <r>
          <rPr>
            <sz val="9"/>
            <color indexed="81"/>
            <rFont val="Tahoma"/>
            <family val="2"/>
          </rPr>
          <t xml:space="preserve">
No se logra visualizar resultados obtenidos para el tercer trimestre del año, nuevamente se sugiere efectuar control de cambios en los criterios de medición y análisis, lo anterior con el fin de dar alcance al proceso de seguimiento y control.</t>
        </r>
      </text>
    </comment>
    <comment ref="S8" authorId="0" shapeId="0">
      <text>
        <r>
          <rPr>
            <b/>
            <sz val="9"/>
            <color indexed="81"/>
            <rFont val="Tahoma"/>
            <family val="2"/>
          </rPr>
          <t>Diana Alessandra Blanco Bernal:</t>
        </r>
        <r>
          <rPr>
            <sz val="9"/>
            <color indexed="81"/>
            <rFont val="Tahoma"/>
            <family val="2"/>
          </rPr>
          <t xml:space="preserve">
Se sugiere atender los criterios establecidos en la matriz, lo anterior teniendo en cuenta que se requiere reportar los resultados obtenidos, si no se obtienen los mismo el valor a reportar es 0.</t>
        </r>
      </text>
    </comment>
    <comment ref="Y8" authorId="0" shapeId="0">
      <text>
        <r>
          <rPr>
            <b/>
            <sz val="9"/>
            <color indexed="81"/>
            <rFont val="Tahoma"/>
            <family val="2"/>
          </rPr>
          <t>Diana Alessandra Blanco Bernal:</t>
        </r>
        <r>
          <rPr>
            <sz val="9"/>
            <color indexed="81"/>
            <rFont val="Tahoma"/>
            <family val="2"/>
          </rPr>
          <t xml:space="preserve">
Se requiere diligenciar los campos de acuerdo con los criterios definidos, lo anterior con el fin de generar los análisis correspondientes.</t>
        </r>
      </text>
    </comment>
    <comment ref="Z8" authorId="0" shapeId="0">
      <text>
        <r>
          <rPr>
            <b/>
            <sz val="9"/>
            <color indexed="81"/>
            <rFont val="Tahoma"/>
            <family val="2"/>
          </rPr>
          <t>Diana Alessandra Blanco Bernal:</t>
        </r>
        <r>
          <rPr>
            <sz val="9"/>
            <color indexed="81"/>
            <rFont val="Tahoma"/>
            <family val="2"/>
          </rPr>
          <t xml:space="preserve">
¿ A qué proyecto se le apunta? Se requiere ser especifico.</t>
        </r>
      </text>
    </comment>
    <comment ref="O9" authorId="0" shapeId="0">
      <text>
        <r>
          <rPr>
            <b/>
            <sz val="9"/>
            <color indexed="81"/>
            <rFont val="Tahoma"/>
            <family val="2"/>
          </rPr>
          <t>Diana Alessandra Blanco Bernal:</t>
        </r>
        <r>
          <rPr>
            <sz val="9"/>
            <color indexed="81"/>
            <rFont val="Tahoma"/>
            <family val="2"/>
          </rPr>
          <t xml:space="preserve">
Se recomienda efectuar la pertinente aplicabilidad a la formula matemática, lo anterior teniendo en cuenta previas observaciones en precedentes reportes.</t>
        </r>
      </text>
    </comment>
    <comment ref="Q9" authorId="0" shapeId="0">
      <text>
        <r>
          <rPr>
            <b/>
            <sz val="9"/>
            <color indexed="81"/>
            <rFont val="Tahoma"/>
            <family val="2"/>
          </rPr>
          <t>Diana Alessandra Blanco Bernal:</t>
        </r>
        <r>
          <rPr>
            <sz val="9"/>
            <color indexed="81"/>
            <rFont val="Tahoma"/>
            <family val="2"/>
          </rPr>
          <t xml:space="preserve">
Se recomienda efectuar la pertinente aplicabilidad a la formula matemática, lo anterior teniendo en cuenta previas observaciones en precedentes reportes.</t>
        </r>
      </text>
    </comment>
    <comment ref="S9" authorId="0" shapeId="0">
      <text>
        <r>
          <rPr>
            <b/>
            <sz val="9"/>
            <color indexed="81"/>
            <rFont val="Tahoma"/>
            <family val="2"/>
          </rPr>
          <t>Diana Alessandra Blanco Bernal:</t>
        </r>
        <r>
          <rPr>
            <sz val="9"/>
            <color indexed="81"/>
            <rFont val="Tahoma"/>
            <family val="2"/>
          </rPr>
          <t xml:space="preserve">
Se recomienda efectuar la pertinente aplicabilidad a la formula matemática, lo anterior teniendo en cuenta previas observaciones en 
precedentes reportes.
</t>
        </r>
      </text>
    </comment>
    <comment ref="AA9" authorId="0" shapeId="0">
      <text>
        <r>
          <rPr>
            <b/>
            <sz val="9"/>
            <color indexed="81"/>
            <rFont val="Tahoma"/>
            <family val="2"/>
          </rPr>
          <t>Diana Alessandra Blanco Bernal:</t>
        </r>
        <r>
          <rPr>
            <sz val="9"/>
            <color indexed="81"/>
            <rFont val="Tahoma"/>
            <family val="2"/>
          </rPr>
          <t xml:space="preserve">
Se solicita via correo institucional reporte de aprobaciones de documentación el día 15 de junio de 2018.</t>
        </r>
      </text>
    </comment>
    <comment ref="AC9" authorId="0" shapeId="0">
      <text>
        <r>
          <rPr>
            <b/>
            <sz val="9"/>
            <color indexed="81"/>
            <rFont val="Tahoma"/>
            <family val="2"/>
          </rPr>
          <t>Diana Alessandra Blanco Bernal:</t>
        </r>
        <r>
          <rPr>
            <sz val="9"/>
            <color indexed="81"/>
            <rFont val="Tahoma"/>
            <family val="2"/>
          </rPr>
          <t xml:space="preserve">
Se solicita via correo institucional reporte de aprobaciones de documentación el día 15 de junio de 2018.</t>
        </r>
      </text>
    </comment>
    <comment ref="AE9" authorId="0" shapeId="0">
      <text>
        <r>
          <rPr>
            <b/>
            <sz val="9"/>
            <color indexed="81"/>
            <rFont val="Tahoma"/>
            <family val="2"/>
          </rPr>
          <t>Diana Alessandra Blanco Bernal:</t>
        </r>
        <r>
          <rPr>
            <sz val="9"/>
            <color indexed="81"/>
            <rFont val="Tahoma"/>
            <family val="2"/>
          </rPr>
          <t xml:space="preserve">
Se solicita via correo institucional reporte de aprobaciones de documentación el día 15 de junio de 2018.</t>
        </r>
      </text>
    </comment>
    <comment ref="O12" authorId="1" shapeId="0">
      <text>
        <r>
          <rPr>
            <b/>
            <sz val="11"/>
            <color indexed="81"/>
            <rFont val="Tahoma"/>
            <family val="2"/>
          </rPr>
          <t>Administrador:</t>
        </r>
        <r>
          <rPr>
            <sz val="11"/>
            <color indexed="81"/>
            <rFont val="Tahoma"/>
            <family val="2"/>
          </rPr>
          <t xml:space="preserve">
En el denominador el calculo hace referencia al tiempo total empleado en horas productivas durante el mes .
</t>
        </r>
      </text>
    </comment>
    <comment ref="Z16" authorId="0" shapeId="0">
      <text>
        <r>
          <rPr>
            <b/>
            <sz val="9"/>
            <color indexed="81"/>
            <rFont val="Tahoma"/>
            <family val="2"/>
          </rPr>
          <t>Diana Alessandra Blanco Bernal:</t>
        </r>
        <r>
          <rPr>
            <sz val="9"/>
            <color indexed="81"/>
            <rFont val="Tahoma"/>
            <family val="2"/>
          </rPr>
          <t xml:space="preserve">
Pormedio trimestre 
107%.</t>
        </r>
      </text>
    </comment>
    <comment ref="AN21" authorId="0" shapeId="0">
      <text>
        <r>
          <rPr>
            <b/>
            <sz val="9"/>
            <color indexed="81"/>
            <rFont val="Tahoma"/>
            <family val="2"/>
          </rPr>
          <t>Diana Alessandra Blanco Bernal:</t>
        </r>
        <r>
          <rPr>
            <sz val="9"/>
            <color indexed="81"/>
            <rFont val="Tahoma"/>
            <family val="2"/>
          </rPr>
          <t xml:space="preserve">
Minimo a lograr de acuerdo con la meta establecida 1.349.063 unidades programadas y vendidas.
</t>
        </r>
      </text>
    </comment>
    <comment ref="O35" authorId="0" shapeId="0">
      <text>
        <r>
          <rPr>
            <b/>
            <sz val="9"/>
            <color indexed="81"/>
            <rFont val="Tahoma"/>
            <family val="2"/>
          </rPr>
          <t>Diana Alessandra Blanco Bernal:</t>
        </r>
        <r>
          <rPr>
            <sz val="9"/>
            <color indexed="81"/>
            <rFont val="Tahoma"/>
            <family val="2"/>
          </rPr>
          <t xml:space="preserve">
Se requiere remitir formato de solicitud de cambios, teniendo en cuenta que se visualiza divergencia en el criterio fórmula matemática, así mismo la gestión de Planeación considera apropiada y pertinente la formula aplicada, por tanto se solicita efectuar la normalización y formalización.</t>
        </r>
      </text>
    </comment>
    <comment ref="Q35" authorId="0" shapeId="0">
      <text>
        <r>
          <rPr>
            <b/>
            <sz val="9"/>
            <color indexed="81"/>
            <rFont val="Tahoma"/>
            <family val="2"/>
          </rPr>
          <t>Diana Alessandra Blanco Bernal:</t>
        </r>
        <r>
          <rPr>
            <sz val="9"/>
            <color indexed="81"/>
            <rFont val="Tahoma"/>
            <family val="2"/>
          </rPr>
          <t xml:space="preserve">
Se requiere remitir formato de solicitud de cambios, teniendo en cuenta que se visualiza divergencia en el criterio fórmula matemática, así mismo la gestión de Planeación considera apropiada y pertinente la formula aplicada, por tanto se solicita efectuar la normalización y formalización.</t>
        </r>
      </text>
    </comment>
    <comment ref="S35" authorId="0" shapeId="0">
      <text>
        <r>
          <rPr>
            <b/>
            <sz val="9"/>
            <color indexed="81"/>
            <rFont val="Tahoma"/>
            <family val="2"/>
          </rPr>
          <t>Diana Alessandra Blanco Bernal:</t>
        </r>
        <r>
          <rPr>
            <sz val="9"/>
            <color indexed="81"/>
            <rFont val="Tahoma"/>
            <family val="2"/>
          </rPr>
          <t xml:space="preserve">
Se requiere remitir formato de solicitud de cambios, teniendo en cuenta que se visualiza divergencia en el criterio fórmula matemática, así mismo la gestión de Planeación considera apropiada y pertinente la formula aplicada, por tanto se solicita efectuar la normalización y formalización.</t>
        </r>
      </text>
    </comment>
    <comment ref="AM35" authorId="0" shapeId="0">
      <text>
        <r>
          <rPr>
            <b/>
            <sz val="9"/>
            <color indexed="81"/>
            <rFont val="Tahoma"/>
            <family val="2"/>
          </rPr>
          <t>Diana Alessandra Blanco Bernal:</t>
        </r>
        <r>
          <rPr>
            <sz val="9"/>
            <color indexed="81"/>
            <rFont val="Tahoma"/>
            <family val="2"/>
          </rPr>
          <t xml:space="preserve">
La linea base se requiere actualizar.</t>
        </r>
      </text>
    </comment>
    <comment ref="P36" authorId="0" shapeId="0">
      <text>
        <r>
          <rPr>
            <b/>
            <sz val="9"/>
            <color indexed="81"/>
            <rFont val="Tahoma"/>
            <family val="2"/>
          </rPr>
          <t>Diana Alessandra Blanco Bernal:</t>
        </r>
        <r>
          <rPr>
            <sz val="9"/>
            <color indexed="81"/>
            <rFont val="Tahoma"/>
            <family val="2"/>
          </rPr>
          <t xml:space="preserve">
Es importante tener en cuenta la gramática normativa, lo anterior teniendo en cuenta que se trata de un reporte que se pondrá a disposición del ciudadano.
</t>
        </r>
        <r>
          <rPr>
            <b/>
            <sz val="9"/>
            <color indexed="81"/>
            <rFont val="Tahoma"/>
            <family val="2"/>
          </rPr>
          <t xml:space="preserve">
Ana: Se realizaron las modificaciones pertinentes.</t>
        </r>
      </text>
    </comment>
    <comment ref="R36" authorId="0" shapeId="0">
      <text>
        <r>
          <rPr>
            <b/>
            <sz val="9"/>
            <color indexed="81"/>
            <rFont val="Tahoma"/>
            <family val="2"/>
          </rPr>
          <t>Diana Alessandra Blanco Bernal:</t>
        </r>
        <r>
          <rPr>
            <sz val="9"/>
            <color indexed="81"/>
            <rFont val="Tahoma"/>
            <family val="2"/>
          </rPr>
          <t xml:space="preserve">
Es importante tener en cuenta la gramática normativa, lo anterior teniendo en cuenta que se trata de un reporte que se pondrá a disposición del ciudadano.
</t>
        </r>
        <r>
          <rPr>
            <b/>
            <sz val="9"/>
            <color indexed="81"/>
            <rFont val="Tahoma"/>
            <family val="2"/>
          </rPr>
          <t>Ana: Se realizaron las modificaciones pertinentes.</t>
        </r>
      </text>
    </comment>
    <comment ref="T36" authorId="0" shapeId="0">
      <text>
        <r>
          <rPr>
            <b/>
            <sz val="9"/>
            <color indexed="81"/>
            <rFont val="Tahoma"/>
            <family val="2"/>
          </rPr>
          <t>Diana Alessandra Blanco Bernal:</t>
        </r>
        <r>
          <rPr>
            <sz val="9"/>
            <color indexed="81"/>
            <rFont val="Tahoma"/>
            <family val="2"/>
          </rPr>
          <t xml:space="preserve">
Es importante tener en cuenta la gramática normativa, lo anterior teniendo en cuenta que se trata de un reporte que se pondrá a disposición del ciudadano.
</t>
        </r>
        <r>
          <rPr>
            <b/>
            <sz val="9"/>
            <color indexed="81"/>
            <rFont val="Tahoma"/>
            <family val="2"/>
          </rPr>
          <t xml:space="preserve">
Ana: Se realizaron las modificaciones pertinentes.</t>
        </r>
      </text>
    </comment>
    <comment ref="T38" authorId="0" shapeId="0">
      <text>
        <r>
          <rPr>
            <b/>
            <sz val="9"/>
            <color indexed="81"/>
            <rFont val="Tahoma"/>
            <family val="2"/>
          </rPr>
          <t>Diana Alessandra Blanco Bernal:</t>
        </r>
        <r>
          <rPr>
            <sz val="9"/>
            <color indexed="81"/>
            <rFont val="Tahoma"/>
            <family val="2"/>
          </rPr>
          <t xml:space="preserve">
Es importante tener en cuenta la gramática normativa, lo anterior teniendo en cuenta que se trata de un reporte que se pondrá a disposición del ciudadano.
</t>
        </r>
      </text>
    </comment>
    <comment ref="Z38" authorId="0" shapeId="0">
      <text>
        <r>
          <rPr>
            <b/>
            <sz val="9"/>
            <color indexed="81"/>
            <rFont val="Tahoma"/>
            <family val="2"/>
          </rPr>
          <t>Diana Alessandra Blanco Bernal:</t>
        </r>
        <r>
          <rPr>
            <sz val="9"/>
            <color indexed="81"/>
            <rFont val="Tahoma"/>
            <family val="2"/>
          </rPr>
          <t xml:space="preserve">
Es importante tener en cuenta la gramática normativa, lo anterior teniendo en cuenta que se trata de un reporte que se pondrá a disposición del ciudadano.
</t>
        </r>
      </text>
    </comment>
    <comment ref="AF38" authorId="0" shapeId="0">
      <text>
        <r>
          <rPr>
            <b/>
            <sz val="9"/>
            <color indexed="81"/>
            <rFont val="Tahoma"/>
            <family val="2"/>
          </rPr>
          <t>Diana Alessandra Blanco Bernal:</t>
        </r>
        <r>
          <rPr>
            <sz val="9"/>
            <color indexed="81"/>
            <rFont val="Tahoma"/>
            <family val="2"/>
          </rPr>
          <t xml:space="preserve">
Es importante tener en cuenta la gramática normativa, lo anterior teniendo en cuenta que se trata de un reporte que se pondrá a disposición del ciudadano.
</t>
        </r>
      </text>
    </comment>
    <comment ref="AF39" authorId="0" shapeId="0">
      <text>
        <r>
          <rPr>
            <b/>
            <sz val="9"/>
            <color indexed="81"/>
            <rFont val="Tahoma"/>
            <family val="2"/>
          </rPr>
          <t>Diana Alessandra Blanco Bernal:</t>
        </r>
        <r>
          <rPr>
            <sz val="9"/>
            <color indexed="81"/>
            <rFont val="Tahoma"/>
            <family val="2"/>
          </rPr>
          <t xml:space="preserve">
Es importante tener en cuenta la gramática normativa, lo anterior teniendo en cuenta que se trata de un reporte que se pondrá a disposición del ciudadano.
</t>
        </r>
      </text>
    </comment>
    <comment ref="AF40" authorId="0" shapeId="0">
      <text>
        <r>
          <rPr>
            <b/>
            <sz val="9"/>
            <color indexed="81"/>
            <rFont val="Tahoma"/>
            <family val="2"/>
          </rPr>
          <t>Diana Alessandra Blanco Bernal:</t>
        </r>
        <r>
          <rPr>
            <sz val="9"/>
            <color indexed="81"/>
            <rFont val="Tahoma"/>
            <family val="2"/>
          </rPr>
          <t xml:space="preserve">
Es importante tener en cuenta la gramática normativa, lo anterior teniendo en cuenta que se trata de un reporte que se pondrá a disposición del ciudadano.
</t>
        </r>
      </text>
    </comment>
    <comment ref="AF41" authorId="0" shapeId="0">
      <text>
        <r>
          <rPr>
            <b/>
            <sz val="9"/>
            <color indexed="81"/>
            <rFont val="Tahoma"/>
            <family val="2"/>
          </rPr>
          <t>Diana Alessandra Blanco Bernal:</t>
        </r>
        <r>
          <rPr>
            <sz val="9"/>
            <color indexed="81"/>
            <rFont val="Tahoma"/>
            <family val="2"/>
          </rPr>
          <t xml:space="preserve">
Es importante tener en cuenta la gramática normativa, lo anterior teniendo en cuenta que se trata de un reporte que se pondrá a disposición del ciudadano.
</t>
        </r>
      </text>
    </comment>
    <comment ref="AF42" authorId="0" shapeId="0">
      <text>
        <r>
          <rPr>
            <b/>
            <sz val="9"/>
            <color indexed="81"/>
            <rFont val="Tahoma"/>
            <family val="2"/>
          </rPr>
          <t>Diana Alessandra Blanco Bernal:</t>
        </r>
        <r>
          <rPr>
            <sz val="9"/>
            <color indexed="81"/>
            <rFont val="Tahoma"/>
            <family val="2"/>
          </rPr>
          <t xml:space="preserve">
Es importante tener en cuenta la gramática normativa, lo anterior teniendo en cuenta que se trata de un reporte que se pondrá a disposición del ciudadano.
</t>
        </r>
      </text>
    </comment>
    <comment ref="AF43" authorId="0" shapeId="0">
      <text>
        <r>
          <rPr>
            <b/>
            <sz val="9"/>
            <color indexed="81"/>
            <rFont val="Tahoma"/>
            <family val="2"/>
          </rPr>
          <t>Diana Alessandra Blanco Bernal:</t>
        </r>
        <r>
          <rPr>
            <sz val="9"/>
            <color indexed="81"/>
            <rFont val="Tahoma"/>
            <family val="2"/>
          </rPr>
          <t xml:space="preserve">
Es importante tener en cuenta la gramática normativa, lo anterior teniendo en cuenta que se trata de un reporte que se pondrá a disposición del ciudadano.
</t>
        </r>
      </text>
    </comment>
    <comment ref="AF44" authorId="0" shapeId="0">
      <text>
        <r>
          <rPr>
            <b/>
            <sz val="9"/>
            <color indexed="81"/>
            <rFont val="Tahoma"/>
            <family val="2"/>
          </rPr>
          <t>Diana Alessandra Blanco Bernal:</t>
        </r>
        <r>
          <rPr>
            <sz val="9"/>
            <color indexed="81"/>
            <rFont val="Tahoma"/>
            <family val="2"/>
          </rPr>
          <t xml:space="preserve">
Es importante tener en cuenta la gramática normativa, lo anterior teniendo en cuenta que se trata de un reporte que se pondrá a disposición del ciudadano.
</t>
        </r>
      </text>
    </comment>
    <comment ref="AE47" authorId="2" shapeId="0">
      <text>
        <r>
          <rPr>
            <b/>
            <sz val="9"/>
            <color indexed="81"/>
            <rFont val="Tahoma"/>
            <family val="2"/>
          </rPr>
          <t>Ana Maria Gutierrez Gonzalez:</t>
        </r>
        <r>
          <rPr>
            <sz val="9"/>
            <color indexed="81"/>
            <rFont val="Tahoma"/>
            <family val="2"/>
          </rPr>
          <t xml:space="preserve">
SE REALIZO SOLICITUD DE CAMBIO PARA REPORTE TRIMESTRAL A PARTIR DEL 01 DE SEPT</t>
        </r>
      </text>
    </comment>
    <comment ref="O48" authorId="0" shapeId="0">
      <text>
        <r>
          <rPr>
            <b/>
            <sz val="9"/>
            <color indexed="81"/>
            <rFont val="Tahoma"/>
            <family val="2"/>
          </rPr>
          <t xml:space="preserve">Diana Alessandra Blanco Bernal:
</t>
        </r>
        <r>
          <rPr>
            <sz val="9"/>
            <color indexed="81"/>
            <rFont val="Tahoma"/>
            <family val="2"/>
          </rPr>
          <t>Se requiere remitir información de la vigencia 2018, lo anterior teniendo en cuenta la meta establecida, lo anterior con el fin de efectuar la medición correspondiente para los periodos de enero, febrero y marzo de 2019.</t>
        </r>
      </text>
    </comment>
    <comment ref="Q48" authorId="0" shapeId="0">
      <text>
        <r>
          <rPr>
            <b/>
            <sz val="9"/>
            <color indexed="81"/>
            <rFont val="Tahoma"/>
            <family val="2"/>
          </rPr>
          <t>Diana Alessandra Blanco Bernal:</t>
        </r>
        <r>
          <rPr>
            <sz val="9"/>
            <color indexed="81"/>
            <rFont val="Tahoma"/>
            <family val="2"/>
          </rPr>
          <t xml:space="preserve">
Se requiere remitir información de la vigencia 2018, lo anterior teniendo en cuenta la meta establecida, lo anterior con el fin de efectuar la medición correspondiente para los periodos de enero, febrero y marzo de 2019.</t>
        </r>
      </text>
    </comment>
    <comment ref="S48" authorId="0" shapeId="0">
      <text>
        <r>
          <rPr>
            <b/>
            <sz val="9"/>
            <color indexed="81"/>
            <rFont val="Tahoma"/>
            <family val="2"/>
          </rPr>
          <t>Diana Alessandra Blanco Bernal:</t>
        </r>
        <r>
          <rPr>
            <sz val="9"/>
            <color indexed="81"/>
            <rFont val="Tahoma"/>
            <family val="2"/>
          </rPr>
          <t xml:space="preserve">
Se requiere remitir información de la vigencia 2018, lo anterior teniendo en cuenta la meta establecida, lo anterior con el fin de efectuar la medición correspondiente para los periodos de enero, febrero y marzo de 2019.</t>
        </r>
      </text>
    </comment>
    <comment ref="O49" authorId="0" shapeId="0">
      <text>
        <r>
          <rPr>
            <b/>
            <sz val="9"/>
            <color indexed="81"/>
            <rFont val="Tahoma"/>
            <family val="2"/>
          </rPr>
          <t>Diana Alessandra Blanco Bernal:</t>
        </r>
        <r>
          <rPr>
            <sz val="9"/>
            <color indexed="81"/>
            <rFont val="Tahoma"/>
            <family val="2"/>
          </rPr>
          <t xml:space="preserve">
Se requiere remitir formato de solicitud de cambios, teniendo en cuenta que se visualiza divergencia en el criterio fórmula matemática, así mismo la gestión de Planeación considera apropiada y pertinente la formula aplicada, por tanto se solicita efectuar la normalización y formalización.</t>
        </r>
      </text>
    </comment>
    <comment ref="Q49" authorId="0" shapeId="0">
      <text>
        <r>
          <rPr>
            <b/>
            <sz val="9"/>
            <color indexed="81"/>
            <rFont val="Tahoma"/>
            <family val="2"/>
          </rPr>
          <t>Diana Alessandra Blanco Bernal:</t>
        </r>
        <r>
          <rPr>
            <sz val="9"/>
            <color indexed="81"/>
            <rFont val="Tahoma"/>
            <family val="2"/>
          </rPr>
          <t xml:space="preserve">
Se requiere remitir formato de solicitud de cambios, teniendo en cuenta que se visualiza divergencia en el criterio fórmula matemática, así mismo la gestión de Planeación considera apropiada y pertinente la formula aplicada, por tanto se solicita efectuar la normalización y formalización.</t>
        </r>
      </text>
    </comment>
    <comment ref="S49" authorId="0" shapeId="0">
      <text>
        <r>
          <rPr>
            <b/>
            <sz val="9"/>
            <color indexed="81"/>
            <rFont val="Tahoma"/>
            <family val="2"/>
          </rPr>
          <t>Diana Alessandra Blanco Bernal:</t>
        </r>
        <r>
          <rPr>
            <sz val="9"/>
            <color indexed="81"/>
            <rFont val="Tahoma"/>
            <family val="2"/>
          </rPr>
          <t xml:space="preserve">
Se requiere remitir formato de solicitud de cambios, teniendo en cuenta que se visualiza divergencia en el criterio fórmula matemática, así mismo la gestión de Planeación considera apropiada y pertinente la formula aplicada, por tanto se solicita efectuar la normalización y formalización.</t>
        </r>
      </text>
    </comment>
    <comment ref="T52" authorId="0" shapeId="0">
      <text>
        <r>
          <rPr>
            <b/>
            <sz val="9"/>
            <color indexed="81"/>
            <rFont val="Tahoma"/>
            <family val="2"/>
          </rPr>
          <t>Diana Alessandra Blanco Bernal:</t>
        </r>
        <r>
          <rPr>
            <sz val="9"/>
            <color indexed="81"/>
            <rFont val="Tahoma"/>
            <family val="2"/>
          </rPr>
          <t xml:space="preserve">
Se requiere allegar Plan de Capacitaciones vigencia 2019.
</t>
        </r>
      </text>
    </comment>
    <comment ref="AE62" authorId="0" shapeId="0">
      <text>
        <r>
          <rPr>
            <b/>
            <sz val="9"/>
            <color indexed="81"/>
            <rFont val="Tahoma"/>
            <family val="2"/>
          </rPr>
          <t xml:space="preserve">Diana Alessandra Blanco Bernal:
</t>
        </r>
        <r>
          <rPr>
            <sz val="9"/>
            <color indexed="81"/>
            <rFont val="Tahoma"/>
            <family val="2"/>
          </rPr>
          <t>Validar el proceso judicial  que se gestionó en el periodo de septiembre de la presente vigencia.</t>
        </r>
      </text>
    </comment>
    <comment ref="Y80" authorId="3" shapeId="0">
      <text>
        <r>
          <rPr>
            <b/>
            <sz val="9"/>
            <color indexed="81"/>
            <rFont val="Tahoma"/>
            <family val="2"/>
          </rPr>
          <t>Yenny Maryori Ortiz Ramos:</t>
        </r>
        <r>
          <rPr>
            <sz val="9"/>
            <color indexed="81"/>
            <rFont val="Tahoma"/>
            <family val="2"/>
          </rPr>
          <t xml:space="preserve">
Los datos de soporte para el indicador se remitira por el Ingeniero Juan Pablo Rodriguez, cada periodo de la vigencia.
</t>
        </r>
      </text>
    </comment>
    <comment ref="AA80" authorId="3" shapeId="0">
      <text>
        <r>
          <rPr>
            <b/>
            <sz val="9"/>
            <color indexed="81"/>
            <rFont val="Tahoma"/>
            <family val="2"/>
          </rPr>
          <t>Yenny Maryori Ortiz Ramos:</t>
        </r>
        <r>
          <rPr>
            <sz val="9"/>
            <color indexed="81"/>
            <rFont val="Tahoma"/>
            <family val="2"/>
          </rPr>
          <t xml:space="preserve">
Los datos de soporte para el indicador se remitira por el Ingeniero Juan Pablo Rodriguez, cada periodo de la vigencia.
</t>
        </r>
      </text>
    </comment>
    <comment ref="AC80" authorId="3" shapeId="0">
      <text>
        <r>
          <rPr>
            <b/>
            <sz val="9"/>
            <color indexed="81"/>
            <rFont val="Tahoma"/>
            <family val="2"/>
          </rPr>
          <t>Yenny Maryori Ortiz Ramos:</t>
        </r>
        <r>
          <rPr>
            <sz val="9"/>
            <color indexed="81"/>
            <rFont val="Tahoma"/>
            <family val="2"/>
          </rPr>
          <t xml:space="preserve">
Los datos de soporte para el indicador se remitira por el Ingeniero Juan Pablo Rodriguez, cada periodo de la vigencia.
</t>
        </r>
      </text>
    </comment>
    <comment ref="AE80" authorId="3" shapeId="0">
      <text>
        <r>
          <rPr>
            <b/>
            <sz val="9"/>
            <color indexed="81"/>
            <rFont val="Tahoma"/>
            <family val="2"/>
          </rPr>
          <t>Yenny Maryori Ortiz Ramos:</t>
        </r>
        <r>
          <rPr>
            <sz val="9"/>
            <color indexed="81"/>
            <rFont val="Tahoma"/>
            <family val="2"/>
          </rPr>
          <t xml:space="preserve">
Los datos de soporte para el indicador se remitira por el Ingeniero Juan Pablo Rodriguez, cada periodo de la vigencia.
Diana Blanco: Se requiere dar aplicabilidad a la formula matemática establecida para el indicador consumo de agua.
</t>
        </r>
      </text>
    </comment>
    <comment ref="AN82" authorId="0" shapeId="0">
      <text>
        <r>
          <rPr>
            <b/>
            <sz val="9"/>
            <color indexed="81"/>
            <rFont val="Tahoma"/>
            <family val="2"/>
          </rPr>
          <t>Diana Alessandra Blanco Bernal:</t>
        </r>
        <r>
          <rPr>
            <sz val="9"/>
            <color indexed="81"/>
            <rFont val="Tahoma"/>
            <family val="2"/>
          </rPr>
          <t xml:space="preserve">
El criterio meta  se encuentra  invertido, se sugiere en mesa de trabajo del día  27 de agosto de 2019 efectuar control de cambios.</t>
        </r>
      </text>
    </comment>
    <comment ref="T93" authorId="4" shapeId="0">
      <text>
        <r>
          <rPr>
            <b/>
            <sz val="9"/>
            <color indexed="81"/>
            <rFont val="Tahoma"/>
            <family val="2"/>
          </rPr>
          <t>Maria Mayerling Moya Contreras: Se solicta la exclusion de estos indicadores hasta tanto no se consolide el  uso de estas herramientas. A la fecha no hay informacion para reportar porque no se han implementado efectivamente.</t>
        </r>
      </text>
    </comment>
    <comment ref="T94" authorId="4" shapeId="0">
      <text>
        <r>
          <rPr>
            <b/>
            <sz val="9"/>
            <color indexed="81"/>
            <rFont val="Tahoma"/>
            <family val="2"/>
          </rPr>
          <t>Maria Mayerling Moya Contreras: Se solicta la exclusion de estos indicadores hasta tanto no se consolide el  uso de estas herramientas. A la fecha no hay informacion para reportar porque no se han implementado efectivamente.</t>
        </r>
      </text>
    </comment>
  </commentList>
</comments>
</file>

<file path=xl/sharedStrings.xml><?xml version="1.0" encoding="utf-8"?>
<sst xmlns="http://schemas.openxmlformats.org/spreadsheetml/2006/main" count="2451" uniqueCount="1216">
  <si>
    <t>EMPRESA DE LICORES DE CUNDINAMARCA</t>
  </si>
  <si>
    <t>Código: MPE0203000000.F01-1</t>
  </si>
  <si>
    <t>Versión: 1</t>
  </si>
  <si>
    <t>MATRIZ DE INDICADORES DE GESTIÓN POR PROCESOS - VIGENCIA 2019</t>
  </si>
  <si>
    <t>Fecha de emisión:
18/04/2018</t>
  </si>
  <si>
    <t>Página
1 de 1</t>
  </si>
  <si>
    <t>TIPOS DE PROCESOS</t>
  </si>
  <si>
    <t>N°</t>
  </si>
  <si>
    <t>MACROPROCESOS  ASOCIADOS</t>
  </si>
  <si>
    <t>PROCESOS</t>
  </si>
  <si>
    <t>NOMBRE DEL INDICADOR</t>
  </si>
  <si>
    <t>OBJETIVO DEL INDICADOR</t>
  </si>
  <si>
    <t>TIPO DE INDICADOR</t>
  </si>
  <si>
    <t>FÓRMULA MATEMÁTICA</t>
  </si>
  <si>
    <t>UNIDAD DE MEDIDA.</t>
  </si>
  <si>
    <t>RESPONSABLE</t>
  </si>
  <si>
    <t>FRECUENCIA DE MEDICIÓN</t>
  </si>
  <si>
    <t>FRECUENCIA DE ANALISIS</t>
  </si>
  <si>
    <t>ENERO</t>
  </si>
  <si>
    <t>ANÁLISIS DE RESULTADOS.</t>
  </si>
  <si>
    <t>FEBRERO</t>
  </si>
  <si>
    <t>MARZO</t>
  </si>
  <si>
    <t>ABRIL</t>
  </si>
  <si>
    <t>MAYO</t>
  </si>
  <si>
    <t>JUNIO</t>
  </si>
  <si>
    <t>JULIO</t>
  </si>
  <si>
    <t>AGOSTO</t>
  </si>
  <si>
    <t>SEPTIEMBRE</t>
  </si>
  <si>
    <t>OCTUBRE</t>
  </si>
  <si>
    <t>NOVIEMBRE</t>
  </si>
  <si>
    <t>DICIEMBRE</t>
  </si>
  <si>
    <t>LINEA BASE</t>
  </si>
  <si>
    <t>META</t>
  </si>
  <si>
    <t>MALO</t>
  </si>
  <si>
    <t>REGULAR</t>
  </si>
  <si>
    <t>BUENO</t>
  </si>
  <si>
    <t>OBSERVACIONES</t>
  </si>
  <si>
    <t>RESULTADOS FAVORABLES/ OPORTUNIDAD DE MEJORA / ACCIÓN CORRECTIVA.</t>
  </si>
  <si>
    <t>PROCESOS ESTRATEGICOS.</t>
  </si>
  <si>
    <t>1.</t>
  </si>
  <si>
    <t>DIRECCIONAMIENTO ESTRATEGICO.</t>
  </si>
  <si>
    <t>1.1.</t>
  </si>
  <si>
    <t>Formulación de Planes y Programas.</t>
  </si>
  <si>
    <t>1.1.1.</t>
  </si>
  <si>
    <t>Índice de costos / gastos para la dependencia Oficina asesora de planeación y sistemas de información.</t>
  </si>
  <si>
    <t>Determinar el grado de eficiencia con que se emplean los recursos(costos / gastos incurridos), en la oficina asesora de planeación y sistemas de información.</t>
  </si>
  <si>
    <t>Eficiencia.</t>
  </si>
  <si>
    <t>(( Costos y/o gastos totales incurridos por la OAPSI/ Costos y/o gastos totales incurridos por la ELC)*100).</t>
  </si>
  <si>
    <t>Porcentual.</t>
  </si>
  <si>
    <t xml:space="preserve">Oficina Asesora de Planeación y Sistemas de Información. </t>
  </si>
  <si>
    <t>Mensual.</t>
  </si>
  <si>
    <t>El 5.90% del total de los gastos incurridos por la Empresa de Licores de Cundinamarca en el mes de enero de 2019 corresponden a costos y gastos generados por parte de la Oficina asesora de planeacion y sistemas de información.</t>
  </si>
  <si>
    <t>El 13,68% del total de los gastos incurridos por la Empresa de Licores de Cundinamarca en el mes de febrero de 2019 corresponden a costos y gastos generados por parte de la Oficina asesora de planeacion y sistemas de información.</t>
  </si>
  <si>
    <t>El 11,83% del total de los gastos incurridos por la Empresa de Licores de Cundinamarca en el mes de marzo de 2019 corresponden a costos y gastos generados por parte de la Oficina asesora de planeacion y sistemas de información.</t>
  </si>
  <si>
    <t xml:space="preserve">Para abril del 2019, la participacion del gasto de la oficina asesora de planeacion y sistemas de informacion fue del 10% respecto al total de los gastos de la ELC </t>
  </si>
  <si>
    <t>Para el periodo de Mayo de 2019, la participacion en gasto de la oficina de planeacion y sistemas de informacion fue de 9,35% respecto al total de los gastos de la ELC</t>
  </si>
  <si>
    <t>Para el periodo de Junio de 2019, la participacion en gasto de la oficina de planeacion y sistemas de informacion fue de 6,71% respecto al total de los gastos de la ELC</t>
  </si>
  <si>
    <t>Para el periodo de Julio de 2019, la participacion en gasto de la oficina de planeacion y sistemas de informacion fue de 8,84% respecto al total de los gastos de la ELC</t>
  </si>
  <si>
    <t>Para el periodo de Agosto de 2019, la participacion en gasto de la oficina de planeacion y sistemas de informacion fue de 7,00% respecto al total de los gastos de la ELC</t>
  </si>
  <si>
    <t>Para el periodo de Septiembre de 2019, la participacion en gasto de la oficina de planeacion y sistemas de informacion fue de 8,99% respecto al total de los gastos de la ELC</t>
  </si>
  <si>
    <t>Historico.</t>
  </si>
  <si>
    <t>Disminución 5% anual.</t>
  </si>
  <si>
    <r>
      <t>De acuerdo a previas validaciones frente al año anterior se logra visualizar desviación frente a la meta establecida para el indicador, por tanto se requiere proyectar la</t>
    </r>
    <r>
      <rPr>
        <sz val="12"/>
        <color rgb="FFFF0000"/>
        <rFont val="Arial"/>
        <family val="2"/>
      </rPr>
      <t xml:space="preserve"> </t>
    </r>
    <r>
      <rPr>
        <sz val="12"/>
        <color rgb="FFFFC000"/>
        <rFont val="Arial"/>
        <family val="2"/>
      </rPr>
      <t>acción de oportunidad de mejora</t>
    </r>
    <r>
      <rPr>
        <sz val="12"/>
        <color rgb="FF000000"/>
        <rFont val="Arial"/>
        <family val="2"/>
      </rPr>
      <t xml:space="preserve"> correspondiente.</t>
    </r>
  </si>
  <si>
    <t>1.1.2.</t>
  </si>
  <si>
    <t>Presentacion informes institucionales.</t>
  </si>
  <si>
    <t>Dar cumplimiento en calidad y oportunidad con las obligaciones y requerimientos formales de los entes internos, externos y de control de la Empresa de Licores de Cundinamarca para evitar sanciones disciplinarias y pecuniarias.</t>
  </si>
  <si>
    <t>Eficacia.</t>
  </si>
  <si>
    <t>(No. informes presentados oportunamente  / No. informes programados).</t>
  </si>
  <si>
    <t>Cantidad.</t>
  </si>
  <si>
    <t>De acuerdo con los terminos establecidos por los entes de control, supervisión y vigilancia a los cuales reporta la Empresa de Licores de Cundinamarca.</t>
  </si>
  <si>
    <t>Atención a solicitudes de asesoria y entrega oportuna de requerimientos s entes internos y externos:
Informes presentados en calidad y oportunidad a entes de control:
Revisión,consolidación, seguimiento y avance Plan estratégico 2016-2019 y Plan de Acción 2018 mediante tableros de control (15 de enero de 2019)
Informe de gestión de entidades descentralizadas solicitado por la Secretaría de Planeación de Cundinamarca. (15 de enero).
Consolidación, revisión con acompañamiento y trabajo de campo , ajuste y aprobación del Plan de Acción 2019 de Subgerencias y Oficina y publicación en página web del Plan de Acción consolidado 2019 de la ELC (31 de enero)
Rendición de cuenta deuda pública Contraloría de Cundinamarca (31 de enero)
Oficina de Control Interno: Avance Plan de Mejoramiento 2014-2015 (31 de enero de 2019)</t>
  </si>
  <si>
    <t>Atención a solicitudes de asesoria y entrega oportuna de requerimientos a entes internos y externos:
Asesoría profesional y acompañamiento a los servidores públicos de acuerdo con las solicitudes para diligenciamiento de  formatos y anexos para la rendición cuenta anual 2018 a la  Contraloría de Cundinamarca.
Rendición de cuentas Contraloría de Cundinamarca:
Cuenta anual 2018 (22 de febrero de 2019)
Cuenta deuda pública: (28 de Febrero 2019)
Consolidación de informe de gestión 2018 de las dependencias y envío a Contraloría de Cundinamarca
Encuesta de Desarrollo e Innovación Tecnológica - EDIT - 2017 - 2018 enviada al DANE (28 de febrero de 2019)</t>
  </si>
  <si>
    <t>Atención a solicitudes de asesoria y entrega oportuna de requerimientos a entes internos y externos:
Asesoría profesional de inducción y reinducción a los servidores públicos de acuerdo con las solicitudes de Talento Humano
Rendición de cuenta de deuda pública a Contraloría de Cundinamarca (31 de marzo)
Elaboración y presentación Informe Junta Directiva a 31 de diciembre 2018</t>
  </si>
  <si>
    <t>Atención a solicitudes de asesoria y entrega oportuna de requerimientos a entes internos y externos:
Informes presentados en calidad y oportunidad a entes de control:
Asesoría profesional de inducción y reinducción a los servidores públicos de acuerdo con las solicitudes de Talento Humano
Revisión, consolidación, seguimiento y avance Plan estratégico 2016-2019 y Plan de Acción 2018 mediante tableros de control a 31 de marzo de 2019 
Informe de gestión de entidades descentralizadas y envío a la Secretaría de Planeación de Cundinamarca. (15 de abril).
Rendición de cuenta deuda pública y mensual de marzo a Contraloría de Cundinamarca (30 de abril)
Informe Junta Directiva a 31 de marzo de 2019</t>
  </si>
  <si>
    <t>Atención a solicitudes de asesoria y entrega oportuna de requerimientos a entes internos y externos:
Asesoría profesional de inducción y reinducción a los servidores públicos de acuerdo con las solicitudes de Talento Humano
Rendición de cuenta de deuda pública a Contraloría de Cundinamarca (31 de mayo)
Solicitud, consolidación y presentación de  Informe de Junta Directiva a 30 de abril.</t>
  </si>
  <si>
    <t>Atención a solicitudes de asesoria y entrega oportuna de requerimientos a entes internos y externos:
Asesoría profesional de inducción y reinducción a los servidores públicos de acuerdo con las solicitudes de Talento Humano
Rendición de cuenta de deuda pública a Contraloría de Cundinamarca (30 de abril)
Solicitud, consolidación y presentación de  Informes de Junta Directiva a 31 de marzo.</t>
  </si>
  <si>
    <t xml:space="preserve">Atención a solicitudes de asesoría profesional.
Entrega oportuna de requerimientos a entes internos y externos:
Consolidación y elaboración de Informe de gestión a 30 de junio y envío a la Secretaría de Planeación de Cundinamarca (15 de abril).
Rendición de cuenta mensual de Deuda Pública a Contraloría de Cundinamarca.
Asesoría profesional de inducción y reinducción a los servidores públicos de acuerdo con las solicitudes de Talento Humano.
Revisión, consolidación, seguimiento y avance Plan estratégico 2016-2019 y Plan de Acción 2018 mediante tableros de control a 30 de junio de 2019 y envío a Secretaría de Planeación de Cundinamarca.
Solicitud, consolidación y presentación de Informe Junta Directiva a 30 de junio de 2019.
</t>
  </si>
  <si>
    <t>Asesoría profesional de inducción y reinducción a los servidores públicos de acuerdo con las solicitudes de Talento Humano.
Entrega oportuna de requerimientos a entes internos y externos:
Consolidación y remisión de información trimestral a 30 de junio a la Secretaría de Hacienda de Cundinamarca.
Remisión informe de gestión a Oficina de Control Interno .
Seguimiento y remisión plan anticorrupción de Direccionamiento Estratégico a 31 de agosto de 2019.
De acuerdo con la solicitud 20191040001621 de 26 de febrero de 2019 a la Contraloría de Cundinamarca, fue retirado Formato F18_1 _CDC de la rendición mensual de deuda pública por lo cual no se presenta en el aplicativo SIA-CONTRALORÍAS  a partir del mes de julio de 2019.</t>
  </si>
  <si>
    <t>Asesoría profesional de inducción y reinducción a los servidores públicos de acuerdo con las solicitudes de Talento Humano.
Capacitación a servidores públicos para la implementación del Modelos Integrado de Planeación y Gestión- MIPG.
Realización de mesas de trabajo para elaboración de autodiagnóstico por dimensiones para envío a Secretaría de Planeación de Cundinamarca.
Actualización de informe de gestión con cifras financieras  a 30 de junio de entidades descentalizadas y remisión a Secretaría de Planeación de Cundinamarca.
Actualización avance Plan Estratégico 2016-2019 y Plan de acción 2019 con cifras financieras y remisión a Secretaría de Planeación de Cundinamarca.
Presentación informe de Junta Directiva a 31 de agosto de 2019.</t>
  </si>
  <si>
    <r>
      <t xml:space="preserve">De acuerdo a previas validaciones con relación a meta, se visualiza que el indicador arroja </t>
    </r>
    <r>
      <rPr>
        <sz val="12"/>
        <color rgb="FF00B050"/>
        <rFont val="Arial"/>
        <family val="2"/>
      </rPr>
      <t>resultados favorables.</t>
    </r>
  </si>
  <si>
    <t>1.1.3.</t>
  </si>
  <si>
    <t xml:space="preserve">Seguimiento y evaluación de plan estrategico. </t>
  </si>
  <si>
    <t xml:space="preserve">Medir el porcentaje de avance y cumplimiento de los programas y proyectos que conforman el Plan Estrategico adoptado por la Empresa de Licores de Cundinamarca, garantizando la toma de decisiones oportunamente de acuerdo con los resultados. </t>
  </si>
  <si>
    <t>(% avance real acumulado del plan estrategico de la ELC / % avance programado del plan estrategico de la ELC) .</t>
  </si>
  <si>
    <t xml:space="preserve">Trimestral. </t>
  </si>
  <si>
    <t>Avance de los programas y proyectos que conforman el Plan Estratégico a 31 de diciembre de 2018 con la herramienta tableros de control.</t>
  </si>
  <si>
    <t>NA</t>
  </si>
  <si>
    <t>El seguimiento es trimestral</t>
  </si>
  <si>
    <t xml:space="preserve">Se efectuó el seguimiento a los programas y proyectos que conforman el Plan Estratégico a 31 de marzo de 2019 con la herramienta tableros de contro. El avance  acumulado 2016-2019 a la fecha de corte es de 60.63%.  </t>
  </si>
  <si>
    <t xml:space="preserve">El seguimiento es trimestral
</t>
  </si>
  <si>
    <t>Se efectuó solicitud de Informe de gestión y avance Plan Estratégico 2016-2019 y Plan de Acción 2019 a lideres de los procesos.</t>
  </si>
  <si>
    <t xml:space="preserve">Se efectuó el seguimiento a los programas y proyectos que conforman el Plan Estratégico a 30 de junio de 2019 con la herramienta tableros de contro. El avance  acumulado 2016-30 de septiembre de 2019 es de 65%.  </t>
  </si>
  <si>
    <r>
      <t xml:space="preserve">De acuerdo con los resultados reportados se visualiza desviación del indicador Seguimiento y evaluación de plan estratégico, por tanto se requiere generar la pertinente </t>
    </r>
    <r>
      <rPr>
        <sz val="12"/>
        <color rgb="FFFF0000"/>
        <rFont val="Arial"/>
        <family val="2"/>
      </rPr>
      <t>acción correctiva.</t>
    </r>
  </si>
  <si>
    <t>1.2.</t>
  </si>
  <si>
    <t>Gestión de Proyectos.</t>
  </si>
  <si>
    <t>1.2.1.</t>
  </si>
  <si>
    <t>Formulación y evaluación de proyectos.</t>
  </si>
  <si>
    <t>Determinar el avance de los proyectos de inversión que se encuentran en ejecución en la ELC, para establecer su cumplimiento.</t>
  </si>
  <si>
    <t>Formulación y evaluación de proyectos =( % avance real proyectos en el periodo/ % avance programado Proyectos en el periodo) * 100.</t>
  </si>
  <si>
    <t>El avance del proyecto de automatización a 31 de diciembre de 2018 es del 100%. 
El seguimiento a los proyectos del plan estratégico se visualiza en los informes de gestión  trimestrales</t>
  </si>
  <si>
    <t xml:space="preserve">El seguimiento a los proyectos del plan estratégico se visualiza en los informes de gestión  trimestrales
Se recepcionó y revisó el proyecto de "Recolección y aprovechamiento de aguas lluvias y freáticas por medio de sistemas hidráulicos en la Empresa de Licores de Cundinamarca. FASE I USO DÓMESTICO." </t>
  </si>
  <si>
    <t>Se realizaron dos mesas de trabajo de asesoría y revisión al proyecto.</t>
  </si>
  <si>
    <t xml:space="preserve">Se efectuaron observaciones y se solicita ampliación del estudio financiero del proyecto. 
</t>
  </si>
  <si>
    <t xml:space="preserve">El seguimiento a los proyectos del plan estratégico se visualiza en los informes de gestión  trimestrales.
</t>
  </si>
  <si>
    <t>Asesoría profesional y mesa de trabajo para la formulación de proyecto de Actualización tecnológica de las  maquinas depaletizadoras de las líneas 1 y 2 del proceso de envasado de licores.</t>
  </si>
  <si>
    <r>
      <t xml:space="preserve">De acuerdo con los resultados reportados se visualiza desviación del indicador Formulación y evaluación de proyectos, por tanto se requiere generar la pertinente </t>
    </r>
    <r>
      <rPr>
        <sz val="12"/>
        <color rgb="FFFF0000"/>
        <rFont val="Arial"/>
        <family val="2"/>
      </rPr>
      <t>acción correctiva.</t>
    </r>
  </si>
  <si>
    <t>2.</t>
  </si>
  <si>
    <t>SIG.</t>
  </si>
  <si>
    <t>2.1.</t>
  </si>
  <si>
    <t>Gestión Documental.</t>
  </si>
  <si>
    <t>2.1.1.</t>
  </si>
  <si>
    <t>Documentación y Actualización de procedimientos.</t>
  </si>
  <si>
    <t>Conservar  y garantizar la actualización y aplicación de  la documentación apropiada como evidencia de que los recursos de procedimientos son idoneos para la ejecución de los procesos de la Empresa de Licores de Cundinamarca.</t>
  </si>
  <si>
    <t>Documentación y Actualización de procedimientos = No. procedimientos aprobados/ No.total de solicitudes* 100</t>
  </si>
  <si>
    <t>En el primer mes del año se revisó el listado maestro de documentos del SIG y se proyectaron varios documentos los cuales quedaron pendientes para su aprobación por parte de los líderes de los procesos.</t>
  </si>
  <si>
    <t>En el segundo mes del año se actualizaron documentos correspondientes a Control de Calidad, quedando aprobados 12 Procedimientos, 23 formatos, 14 instructivos, 8 guías, planes y programas.   El indicador obtenido es del 88% lo que indica que en Febrero se reactivo la actualización documental, pero es necesario continuar con la misma para obtener un 100%.</t>
  </si>
  <si>
    <t xml:space="preserve">En el tercer mes del año se actualizaron documentos correspondientes a Seguridad y Salud en el trabajo, Comunicaciones externas, Historias Laborales, SIG, Gestión Documental, Beneficios Convencionales, Nómina y Prestaciones Laborales, quedando aprobados Catorce documentos de los 74, 54 están pendientes de la revisión por parte de los líderes de los procesos.
El indicador obtenido es del 19% lo que indica que se debe incrementar el compromiso por parte de los responsables de la aprobación de los documentos del SIG. </t>
  </si>
  <si>
    <t>En el cuarto mes del año se actualizaron documentos correspondientes a Seguridad y Salud en el trabajo, Beneficios Convencionales, Gestión Administrativa, Direccionamiento Estratégico y C. Calidad, quedando aprobados Siete (7) documentos:   Tres procedimientos, cuatro formatos, y en revisión por parte de los líderes de los procesos Trece (13) documentos.
El indicador obtenido es del 53 % lo que indica el aporte por aprte de los líderes de los procesos o responsables de la aprobación de los documentos del SIG.</t>
  </si>
  <si>
    <t xml:space="preserve">En el quinto mes del año se actualizaron documentos correspondientes a Gestión Jurídica, Seguridad y Salud en el trabajo, Control de calidad. Beneficios Convencionales, Gestión Administrativa, Direccionamiento Estratégico y C. Calidad, quedando aprobados Ocho (8) documentos:   2 procedimientos, 4 formatos, y en revisión por parte de los líderes de los procesos veintidos (22) documentos.
El indicador obtenido es del 36% lo que indica que se debe incrementar el compromiso por parte de los responsables de la aprobación de los documentos del SIG. </t>
  </si>
  <si>
    <t xml:space="preserve">En el sexto mes del año se actualizaron documentos correspondientes a Gestión  Contractual, Ambiental, Gestión Comercial, Control Interno Disciplinario, Mantenimiento, Control Interno,Control de Calidad, quedando aprobados Tres  (3) documentos:  1 procedimiento, 3 formatos, y en revisión por parte de los líderes de los procesos treinta (30) documentos.
El indicador obtenido es del 10 % lo que indica que se debe incrementar el compromiso por parte de los responsables de la aprobación de los documentos del SIG. </t>
  </si>
  <si>
    <t>En el mes de Julio se actualizaron documentos de los macroprocesos:  Control de calidad, Gestión Comercial, SIG; Gestión ambiental.
Se aprobaron15 documentos; 4 procedimientos, 4 formatos, 1 manual, 4 instructivos, 2 guías.  En revisión quedaron 21 documentos: 4 procedimientos, 5 formatos, 1 manual, 9 instructivos, 2 guías.
Se evidencia que el listado maestro de documentos presenta una mejora continua.</t>
  </si>
  <si>
    <t>En este mes se actualizaron documentos del SIG correspondientes a:  Gestión Financiera, Control Interno, Gestión administrativa y Control de calidad.
Se aprobaron 35 documentos:  11 procedimientos, 15 formatos, 8 instructivos y 1 guía.
En revisión 33 documentos: 12 procedimientos, 16 formatos, 4 instructivos y 1 guía.
Se requiere que los líderes de los macroprocesos responsables de la aprobación de los documentos, agilicen la revisión.</t>
  </si>
  <si>
    <t xml:space="preserve">En el noveno mes se actualizaron documentos de:  Control de calidad, Direccionamiento estratégico, SIG, Comunicaciones Institucionales, Gestión administrativa, Gestión de Mantenimiento, Gestión Financiera.
Se aprobaron 45 documentos:  8 procedimientos, 21 formatos, 2 manuales, 5 instructivos y 9 guías.
Se encuentran en revisión 17 documentos:  7 procedimientos, 8 formatos y 2 manuales.
Para el cierre del trimestre el indicador es favorable lo que indica el compromiso por parte de los responsables de los macroprocesos y la mejora continua del Sistema.
</t>
  </si>
  <si>
    <t>2.1.2.</t>
  </si>
  <si>
    <t>Asesorias.</t>
  </si>
  <si>
    <t>Brindar apoyo a nuestros clientes internos en todas las áreas que abarca los procesos y procedimientos establecidos por la Empresa de Licores de Cundinamarca, con el fin de lograr el entendimiento pleno de los mismos.</t>
  </si>
  <si>
    <t>Asesorias brindadas/asesorias solicitadas.</t>
  </si>
  <si>
    <t>*Durante el mes de enero se realizaron mesas de trabajo en las cuales se dió alcance a los siguientes temas:  ISO 14001:2015, Plataforma Estrategica, Rendición de cuentas, ajuste indicadores y comunicaciones, obteniendo un 10% en la gestión lo cual indica que se dio alcance a la totalidad de las mesas de trabajo solicitadas.</t>
  </si>
  <si>
    <t xml:space="preserve">*Durante el mes de febrero se realizaron mesas de trabajo relacionadas con los siguientes temas: Inducción, riesgos, responsabilidad social, FURAG - MIPG, listado maestro, indicadores de gestión por procesos y acciones correctivas resultantes de auditorias precedentes.
Se obtiene resultados al 100% lo cual genera mejora continua para el sistema integrado de la entidad.
</t>
  </si>
  <si>
    <t>*Durante el mes de marzo se realizaron  mesas de trabajo en las cuales se dió alcance a los siguientes temas:  ISO 14001:2015, comunicaciones, inducción, listado maestro, indicadores de gestión por procesos, grupo digital, presentación de informes, ISO 45001:2018, acciones correctivas resultantes de auditorias precedentes y FURAG - MIPG.
Se obtiene resultados favorables para la gestión, lo cual genera mejoramiento en los procesos de la entidad.</t>
  </si>
  <si>
    <t>*Durante el mes de abril se realizaron  mesas de trabajo en las cuales se dió alcance a los siguientes temas: Documentación-Campaña;  Seguridad y Salud en el trabajo, Beneficios Convencionales, Gestión Administrativa, Direccionamiento Estratégico, Indicadores, Política Informática, Hallazgos auditorías, Proyectos, Inducción, Ley 1712, Grupo digital, MIPG.  
Se obtiene resultados favorables para la gestión, lo cual genera mejoramiento en los procesos de la entidad.</t>
  </si>
  <si>
    <t>*Durante el mes de mayo se realizaron  mesas de trabajo en las cuales se dió alcance a los siguientes temas: Documentación-Campaña; Procedimientos, Inducción, Gruypo digital, MIPG, Indicadores, Hallazgos auditorías, S. G. Ambiental, Grupo digital, Política de seguridad informática, Plan Estratégico, Comunicaciones.  
Se obtiene resultados favorables para la gestión, lo cual genera mejoramiento en los procesos de la entidad.</t>
  </si>
  <si>
    <t>*Durante el mes de junio se realizaron  mesas de trabajo en las cuales se dió alcance a los siguientes temas: Indicadores, Política Informática, Grupo digital, Revisión por la dirección, Procedimientos, SST/S Ambiental, Inducción, Comunicaciones, MIPG, Resolución 1407, Plan Estratégico, Riesgos,SIG nvencionales, Gestión Administrativa, Direccionamiento Estratégico, Indicadores, Política Informática, Hallazgos auditorías, Proyectos, Inducción, Ley 1712, Grupo digital, Mipg,  
Se obtiene resultados favorables para la gestión, lo cual genera mejoramiento en los procesos de la entidad.</t>
  </si>
  <si>
    <t>*Durante el mes de julio se realizaron  mesas de trabajo en las cuales se dió alcance a los siguientes temas: Indicadores, Grupo digital, Premios y postulaciones, Documentación SIG, Inducción, Mapa de Riesgos, Plan Anticorrupción, Normograma, MIPG, Matríz Antitrámites, Auditorías INtegrales y Resolución 1407, Gestión Ambiental. 
En 55 mesas de trabajo realizadas se asesoró a un total de 149 servidores públicos.
En este mes se evidencia el cumplimiento de la realización del curso virtual introductorio del mipg, que es de obligatorio para los servidores públicos.</t>
  </si>
  <si>
    <t>*Durante el mes de agosto se realizaron  mesas de trabajo en las cuales se dió alcance a los siguientes temas: Indicadores de gestión, Grupo digital, Documentación SIG, Plataforma estratégica, Inducción, Mapa de Riesgos, Plan Anticorrupción, Normograma, Objetivos de calidad, Resolución 1407 y cronograma de actividades. 
En  23 mesas de trabajo realizadas se asesoró a un total de 61 servidores públicos.
En este mes dió cumplimiento a la formación de auditores integrales y al programa de auditorías internas.</t>
  </si>
  <si>
    <t>*Durante el mes de septiembre se realizaron  mesas de trabajo en las cuales se dió alcance a los siguientes temas: Indicadores de gestión, Grupo digital, Estructura Proyecto, Documentación SIG, Plataforma estratégica, Revisión por la dirección, Inducción, Normograma, Objetivos de calidad, Auditorías internas y externas, Empalme. 
En  44 mesas de trabajo realizadas se asesoró a un total de 131 servidores públicos.
En este resaltamos la socialización del Normograma y la realización de la auditoría externa de seguimiento No. 1 a la Certificación de Calidad.</t>
  </si>
  <si>
    <t>Historio.</t>
  </si>
  <si>
    <r>
      <t xml:space="preserve">De acuerdo a los resultados reportados, se visualiza gestión </t>
    </r>
    <r>
      <rPr>
        <sz val="12"/>
        <color rgb="FF00B050"/>
        <rFont val="Arial"/>
        <family val="2"/>
      </rPr>
      <t>favorable,</t>
    </r>
    <r>
      <rPr>
        <sz val="12"/>
        <color rgb="FF000000"/>
        <rFont val="Arial"/>
        <family val="2"/>
      </rPr>
      <t xml:space="preserve"> sin embargo se requiere remitir información soporte, lo anterior con el fin de llevar a cabo los procesos de análisis pertinentes.</t>
    </r>
  </si>
  <si>
    <t>2.2.</t>
  </si>
  <si>
    <t>Revisión y Seguimiento.</t>
  </si>
  <si>
    <t>2.2.1.</t>
  </si>
  <si>
    <t>Administrador del Riesgo.</t>
  </si>
  <si>
    <t>Efectuar control del reporte en oportunidad, de las acciones realizadas por parte de los Macroprocesos y que están identificados en la matriz de riesgos, para facilitar el seguimiento y evaluación que realiza la oficina de control interno.</t>
  </si>
  <si>
    <t>(Número total de informes reportados en el periodo / Número total de reportes solicitados)*100</t>
  </si>
  <si>
    <t xml:space="preserve">Se solicitara control de cambios en las frecuencias de medición y análisis de una periodicidad mensual a trimestral. </t>
  </si>
  <si>
    <t xml:space="preserve">De acuerdo con la Resolución 2014104000574-5 "por la cual se adopta y reglamenta la politica de administración de riesgos en la ELC…"
La Oficina Asesora de Planeación y Sistemas de Información, llevó a cabo las actividades necesarias para la identificación, análisis y valoración de los riesgos por cada uno de los macroprocesos que integra el SIG,  igualmente se solicita mediante correo institucional el informe de las actividades realizadas con corte al primer trimestre de 2019, obteniendo para este corte 0% de entrega en oportunidad.
Durante este primer trimestre se recibieron los reportes de las acciones realizadas correspondiente al cuarto trimestre de 2018.
</t>
  </si>
  <si>
    <t xml:space="preserve">Em este mes se recibió información del seguimiento realizado en el primer trimestre por parte de los Macroprocesos 
Direccionamiento Estratégico,
Gestión administrtiva, 
TIC, 
Comercial, 
Control Interno,
SIG, 
Contractual, y
 Ambiental.  (De 16 se recibieron 8)
</t>
  </si>
  <si>
    <t>En este mes se recibió información del seguimiento realizado enel primer trimestre por parte de los Macroprocesos 
Gestión de producción, 
Talento Humano, 
G. Jurídica, 
C. Calidad, 
G. Mantenimineto, 
G. Financiera:  Tesorería, Presupuesto y Costos  (de 16 se han recibido 14).</t>
  </si>
  <si>
    <t>No reportaron los Macroprocesos Control Interno Disciplinario y Comunicaciones Institucionales.</t>
  </si>
  <si>
    <t>N/A</t>
  </si>
  <si>
    <t>Reporte Trimestral.</t>
  </si>
  <si>
    <t>Mediante correo del 2 de julio se solicitó el reporte del seguimiento del segundo trimestre (abril-mayo-junio) y se envio recordatorio el 17 de Julio.
Para este trimestre se evidencia la modificación de riesgos del Macroproceso SIG.
Se recibieron los informes del seguimiento realizado por los 16 Macroprocesos a los riesgos identificados en el Mapa de Riesgos.
El indicador obtenido evidencia  el compromiso por parte de los Lideres de los Macroprocesos. El Mapa de Riesgos con seguimiento 2 trimestre 2019, fue publicado en la Intranet.</t>
  </si>
  <si>
    <t xml:space="preserve">Historico. </t>
  </si>
  <si>
    <t>PROCESOS MISIONALES.</t>
  </si>
  <si>
    <t>3.</t>
  </si>
  <si>
    <t>GESTION DE PRODUCCIÓN.</t>
  </si>
  <si>
    <t>3.1.</t>
  </si>
  <si>
    <t xml:space="preserve">Planificación de la producción </t>
  </si>
  <si>
    <t>3.1.1.</t>
  </si>
  <si>
    <t>Indice de Gestion del recurso humano.</t>
  </si>
  <si>
    <t>Determinar el grado de eficiencia con que se emplean el recurso humano en el Macro Proceso productivo.</t>
  </si>
  <si>
    <t>(Unidades producidas en el periodo / Recurso Humano empleado en el proceso productivo).</t>
  </si>
  <si>
    <t>Botellas / Hora-Hombre.</t>
  </si>
  <si>
    <t>Subgerencia Técnica.</t>
  </si>
  <si>
    <t>En el mes de enero se controla la producción con lo planeado, para generar  cobertura en referencias que tiene alta demanda en el mercado, también se cuenta con el personal idóneo para su producción.</t>
  </si>
  <si>
    <t>Durante el mes de febrero disminuye el resultado, esto debido a cambios y rotacion del personal.</t>
  </si>
  <si>
    <t>En el mes de marzo observamos un incremento con respecto a los meses anteriores esto debido a que contamos con el personal completo durante todo el mes, lo que nos aseguró tener una mayor productividad al poder asignar de manera adecuada a los puestos de trabajo según capacidades físicas y conocimientos del puesto de trabajo.</t>
  </si>
  <si>
    <r>
      <t xml:space="preserve">En el mes de abril observamos un incremento con respecto a los meses anteriores esto debido a que se incrementó y se cumplió con lo proyectado para cada una de las referencias programadas. </t>
    </r>
    <r>
      <rPr>
        <b/>
        <sz val="11"/>
        <rFont val="Arial"/>
        <family val="2"/>
      </rPr>
      <t>Se aplicaron turnos adicionales para incrementar la producción y generar cobertura a la demanda de ventas.</t>
    </r>
  </si>
  <si>
    <t>En el mes de mayo observamos que disminuye al mes anterior, esto debido a que no se programaron turnos adicionales para la producción ya que se estaban terminando de agotar los insumos de presentación actual para las referencias de 375 y 750. (Aguardiente y Ron)</t>
  </si>
  <si>
    <t>En el mes de junio observamos que disminuye al mes anterior, esto debido a la terminación de los inventarios de insumos de la presentación actual y se entregaron las líneas para su debido procedimiento de actualización y montaje de nueva maquinaria para la nueva presentación.</t>
  </si>
  <si>
    <t>El mes de julio es más eficiente que al mes anterior, esto debido a los días programados según plan de producción y el personal disponible, para con esto agotar los inventarios de presentación antigua.</t>
  </si>
  <si>
    <t>El mes de Agosto sigue mejorando la eficiencia, esto debido a la modernización en maquinaria donde disminuye la hora hombre y aumentan las unidades producidas.</t>
  </si>
  <si>
    <t xml:space="preserve">El mes de Septiembre sigue mejorando la eficiencia, esto debido a la modernización en maquinaria donde disminuye la hora hombre y aumentan las unidades producidas, adicional se programan dobles turnos. </t>
  </si>
  <si>
    <t>Aumento del 20% en productividad por cada periodo del año.</t>
  </si>
  <si>
    <t>3.2.</t>
  </si>
  <si>
    <t xml:space="preserve">Ejecucción de la producción. </t>
  </si>
  <si>
    <t>3.2.1.</t>
  </si>
  <si>
    <t>Paros Programados y No Programados en líneas de producción.</t>
  </si>
  <si>
    <t>Controlar  la cantidad y el tiempo en el que las líneas productivas de la organización se encuentran inactivas para asi mismo medir su incidencia en los costos de la operación.</t>
  </si>
  <si>
    <t xml:space="preserve">(Horas de bloqueo por paradas programadas y/o no programadas en el periodo/ Capacidad disponible en horas en el periodo)*100
 </t>
  </si>
  <si>
    <t>En el mes de Enero el 15% del tiempo inactivo en líneas  de producción correspondió a paradas tanto programadas como no programadas. Se mantiene el control con mantenimiento preventivo.</t>
  </si>
  <si>
    <t>En el mes de Febrero aumenta el tiempo inactivo en líneas de producción al 21%, esto debido al aumento de turnos y mayor producción. Se mantiene el control con mantenimiento preventivo.</t>
  </si>
  <si>
    <t>Durante este mes se observa que se tiene la disminucion de un punto porcentual en el tiempo de paradas, aunque se tiene un mayor numero de paradas estas tienen un tiempo menor que favorece a la productividad de la linea de produccion.</t>
  </si>
  <si>
    <t xml:space="preserve">Durante este mes se observa un mejoramiento del 11% de tiempo inactivo en las líneas de producción, esto debido a los altos tiempos continuos de producción y acompañamiento de mantenimiento industrial aplicando procesos preventivos en máquina.  </t>
  </si>
  <si>
    <t>Durante este mes se observa se mantiene un buen resultado de tiempo inactivo en las líneas de producción, esto debido al mejoramiento contenido en los tiempos ociosos.</t>
  </si>
  <si>
    <t xml:space="preserve">Durante este mes se observa un incremento del 25%, esto debido a los altos tiempos en cambio de producto por agotamiento de insumos en presentación actual y turnos de producción cortos. </t>
  </si>
  <si>
    <t xml:space="preserve">Durante este mes se observa que del 100% del tiempo disponible para producción el 19% estuvo inactivo obteniendo una mejora continua en la enficiencia de las lineas de producción.   </t>
  </si>
  <si>
    <t xml:space="preserve">Durante este mes se observa que del 100% del tiempo disponible para producción el 18% estuvo inactivo obteniendo una mejora continua en la enficiencia de las lineas de producción.   </t>
  </si>
  <si>
    <t xml:space="preserve">Durante este mes se observa que del 100% del tiempo disponible para producción el 17% estuvo inactivo obteniendo una mejora continua en la enficiencia de las lineas de producción.   </t>
  </si>
  <si>
    <t>MINIMO DE PARADAS MENOR AL 15%</t>
  </si>
  <si>
    <r>
      <t xml:space="preserve">De conformidad con los resultados reportados se visualiza desviación del indicador Paros Programados y No Programados en líneas de producción, por tanto se requiere generar la pertinente </t>
    </r>
    <r>
      <rPr>
        <sz val="12"/>
        <color rgb="FFFFC000"/>
        <rFont val="Arial"/>
        <family val="2"/>
      </rPr>
      <t>acción de mejora</t>
    </r>
    <r>
      <rPr>
        <sz val="12"/>
        <color theme="1"/>
        <rFont val="Arial"/>
        <family val="2"/>
      </rPr>
      <t>, lo anterior con el objetivo de obtener el mejoramiento continuo esperado.</t>
    </r>
  </si>
  <si>
    <t>3.2.2.</t>
  </si>
  <si>
    <t>Bajas en líneas de Producción.</t>
  </si>
  <si>
    <t>Establecer la cantidad de bajas que se generan en cada línea de producción, con el fin de medir su incidencia en los costos de operación y en el desempeño del sistema productivo.</t>
  </si>
  <si>
    <t>(Número de bajas reportadas por línea de Producción ( Por insumo o materia prima)/ Número de unidades producidas por linea)*100. (Envasadero)</t>
  </si>
  <si>
    <r>
      <t xml:space="preserve">Durante el mes de Enero observamos que todos los insumos se mantienen controles establecidos según consumo de insumos. </t>
    </r>
    <r>
      <rPr>
        <b/>
        <sz val="12"/>
        <rFont val="Arial"/>
        <family val="2"/>
      </rPr>
      <t xml:space="preserve">(Adjunto archivo Soporte resultados) </t>
    </r>
  </si>
  <si>
    <r>
      <t xml:space="preserve">En este mes observamos un aumento controlado  en las bajas presentadas en las líneas de producción, esto debido a que se aumenta la producción en las referencias prioritarias. </t>
    </r>
    <r>
      <rPr>
        <b/>
        <sz val="12"/>
        <rFont val="Arial"/>
        <family val="2"/>
      </rPr>
      <t>(Adjunto archivo Soporte resultados)</t>
    </r>
  </si>
  <si>
    <r>
      <t xml:space="preserve">En el mes de abril se mejoran los tiempos para la solución de fallas mecánicas aumentando la eficiencia de producción y disminución de bajas de insumos.  </t>
    </r>
    <r>
      <rPr>
        <b/>
        <sz val="12"/>
        <rFont val="Arial"/>
        <family val="2"/>
      </rPr>
      <t>(Adjunto archivo Soporte resultados)</t>
    </r>
  </si>
  <si>
    <r>
      <t xml:space="preserve">En el mes de mayo se mantienen los tiempos para la solución de fallas mecánicas aumentando la eficiencia de producción y disminución de bajas de insumos.  </t>
    </r>
    <r>
      <rPr>
        <b/>
        <sz val="12"/>
        <rFont val="Arial"/>
        <family val="2"/>
      </rPr>
      <t>(Adjunto archivo Soporte resultados)</t>
    </r>
  </si>
  <si>
    <r>
      <t xml:space="preserve">En el mes de Junio se mantienen los tiempos para la solución de fallas mecánicas aumentando la eficiencia de producción y disminución de bajas de insumos.  </t>
    </r>
    <r>
      <rPr>
        <b/>
        <sz val="12"/>
        <rFont val="Arial"/>
        <family val="2"/>
      </rPr>
      <t>(Adjunto archivo Soporte resultados)</t>
    </r>
  </si>
  <si>
    <r>
      <t xml:space="preserve">En el mes de Julio se genera un aumento controlado de bajas de insumos en lineas de producción, esto debido al comportamiento de insumos nuevos para la nueva imagen de los productos.  </t>
    </r>
    <r>
      <rPr>
        <b/>
        <sz val="12"/>
        <rFont val="Arial"/>
        <family val="2"/>
      </rPr>
      <t>(Adjunto archivo Soporte resultados)</t>
    </r>
  </si>
  <si>
    <r>
      <t xml:space="preserve">En el mes de Agosto se mantiene el control de bajas en los insumos en lineas de producción, esto debido al comportamiento de insumos nuevos para la nueva imagen de los productos.  </t>
    </r>
    <r>
      <rPr>
        <b/>
        <sz val="12"/>
        <rFont val="Arial"/>
        <family val="2"/>
      </rPr>
      <t>(Adjunto archivo Soporte resultados)</t>
    </r>
  </si>
  <si>
    <r>
      <t xml:space="preserve">En el mes de Septiembre se genera un aumento controlado de bajas de insumos en lineas de producción, esto debido al comportamiento de insumos nuevos para la nueva imagen de los productos.  </t>
    </r>
    <r>
      <rPr>
        <b/>
        <sz val="12"/>
        <rFont val="Arial"/>
        <family val="2"/>
      </rPr>
      <t>(Adjunto archivo Soporte resultados)</t>
    </r>
  </si>
  <si>
    <t>HISTORICO</t>
  </si>
  <si>
    <t>MENOR AL 3%</t>
  </si>
  <si>
    <t>3.2.4.</t>
  </si>
  <si>
    <t>Recicles.</t>
  </si>
  <si>
    <t xml:space="preserve">Determinar y controlar la cantidad de licor reciclado, con el fin de evidenciar su incidencia en los costos de la organización. </t>
  </si>
  <si>
    <t xml:space="preserve">(Volumen de licor reciclado en el periodo/Volumen fabricado en el periodo)*100. </t>
  </si>
  <si>
    <t xml:space="preserve">Durante este mes de enero  presentaron 4,564 litros de recicle para convertirlo a tradicional  5% con respecto al total preparado de este licor, este licor se utilizara posteriormente en la elaboracion de un nuevo producto. *   Nectar                                                                        =(Volumen de licor reciclado / Volumen Fabricado en el periodo )*100                                                                     =(4.564/ 84.167) *100 = 5 %  </t>
  </si>
  <si>
    <t>NO HUBO RECICLES EN EL PERIODO</t>
  </si>
  <si>
    <t>Durante el periodo no se registran recicles de licor debido a que los licores envasados seguiran siendo envasados durantes los sigueintes periodos por ende no se hace necesario reciclar el licor.</t>
  </si>
  <si>
    <t xml:space="preserve">Durante este mes de marzo  presentaron 3,010  litros de recicle para convertirlo a tradicional  2 % con respecto al total preparado de este licor, este licor se utilizara posteriormente en la elaboracion de un nuevo producto. *   Nectar                                                                         =(Volumen de licor reciclado / Volumen Fabricado en el periodo )*100                                                                     =(3010/ 122736) *100 = 2 %  </t>
  </si>
  <si>
    <t xml:space="preserve">Durante el mes de abril  presentaron 11,000  litros de recicle para convertirlo a tradicional  28% con respecto al total preparado de este licor, este licor se utilizara posteriormente en la elaboracion de un nuevo producto. *   Nectar Azul s/a                                                                  =(Volumen de licor reciclado / Volumen Fabricado en el periodo )*100                                                                     =(11000/40000) *100 = 28 %  </t>
  </si>
  <si>
    <t xml:space="preserve">Durante el mes de Mayo se presentaron 1,977  litros de recicle equivalente a 1,2% con respecto al total preparado de este licor, este licor se utilizara posteriormente en la elaboracion de un nuevo producto. *   Nectar                                                                         =(Volumen de licor reciclado / Volumen Fabricado en el periodo )*100                                                                     =(1977/ 122736) *100 = 1,2 %  </t>
  </si>
  <si>
    <t xml:space="preserve">Durante el mes de Junio se presentaron 1,624  litros de recicle para convertirlo a tradicional  22 % con respecto al total preparado de este licor, este licor se utilizara posteriormente en la elaboracion de un nuevo producto. *   Nectar Premium                                                                        =(Volumen de licor reciclado / Volumen Fabricado en el periodo )*100                                                                     =(1624/ 122736) *100 = 22 %  </t>
  </si>
  <si>
    <t xml:space="preserve">Durante el mes de Junio se presentaron 6.000  litros de recicle para convertirlo a tradicional  0,94 % con respecto al total preparado de este licor, este licor se utilizara posteriormente en la elaboracion de un nuevo producto. *   Nectar club                                                                        =(Volumen de licor reciclado / Volumen Fabricado en el periodo )*100                                                                     =(6000/632220) *100 = 0,94%  </t>
  </si>
  <si>
    <t>MENOR AL 10%</t>
  </si>
  <si>
    <t xml:space="preserve">Ejecución de la producción. </t>
  </si>
  <si>
    <t>3.2.5.</t>
  </si>
  <si>
    <t>Producción de Aguardientes y Rones por presentaciòn para Cundinamarca.</t>
  </si>
  <si>
    <t>Ejecutar y controlar el programa de producción de aguardientes y rones para el departamento de Cundinamarca.</t>
  </si>
  <si>
    <t>(Unidades reales producidas / unidades presupuestadas)*100.</t>
  </si>
  <si>
    <t>Durante el mes de enero podemos analizar que respecto a lo planeado se logró cumplir con un 100 % esto debido al control de mantenimiento preventivo de las línea de producción y control de insumos.</t>
  </si>
  <si>
    <t>Podemos observar que con respecto al mes anterior el resultado fue del 62%, esto debido a prioridad en referencias para OD y agotamiento de insumos presentación actual.</t>
  </si>
  <si>
    <t xml:space="preserve">
En el mes de marzo se obtiene un mejor resultado respecto al mes anterior, sin embargo la estrategia de agotamiento de insumos presentación actual es vital para el proceso de la nueva presentación, así mismo se tiene en cuenta el mantenimiento correctivo e incumplimiento por parte del proveedor de envase RON 375
</t>
  </si>
  <si>
    <t>Durante este mes se cumple a cabalidad con el plan de producción vs ventas, generando cobertura para los meses siguientes y una sobre ejecución.</t>
  </si>
  <si>
    <t>Durante este mes se cumple a cabalidad con el plan de producción vs ventas, generando cobertura para los meses siguientes.</t>
  </si>
  <si>
    <t>MAYOR AL 90%</t>
  </si>
  <si>
    <t>3.2.6.</t>
  </si>
  <si>
    <t>Producción de aguardientes y rones por presentaciòn para otros departamentos y las fronteras Colombianas.</t>
  </si>
  <si>
    <t>Ejecutar y controlar el programa de producción de aguardientes y rones para otros departamentos.</t>
  </si>
  <si>
    <t>Unidades reales  producidas/ unidades presupuestadas.</t>
  </si>
  <si>
    <t xml:space="preserve">En el mes de enero se presenta un cumplimiento del 103% con respecto a lo planificado esto debido al objetivo de aplicar covertura al plan de ventas. </t>
  </si>
  <si>
    <t>En febrero se mantiene el control al plan de ventas en acompañamiento de mantenimiento industrial con ordenes de prevencion a fallas mecanicas, es importante resaltar que se prioriza las referencias de cundinamarca durante este mes.</t>
  </si>
  <si>
    <t xml:space="preserve">
En el mes de marzo se obtiene una disminución a los resultados según lo planeado, esto debido al incumplimiento del proveedor de envase de Ron 375.
</t>
  </si>
  <si>
    <t xml:space="preserve">
En el mes de abril se obtiene un resultado positivo cumpliendo con lo programado.</t>
  </si>
  <si>
    <t xml:space="preserve">
En el mes de mayo se obtiene un resultado positivo cumpliendo con lo programado.</t>
  </si>
  <si>
    <t xml:space="preserve">
En el mes de junio se obtiene un resultado positivo cumpliendo con lo programado.</t>
  </si>
  <si>
    <t xml:space="preserve">Durante este mes no se programo por cumplimiento en gran parte de las referencias al plan de ventas y por cantidades minimas de producción, tambien teniendo en cuenta la instalacion y puesta en marcha de etiquetadora linea 2. </t>
  </si>
  <si>
    <t>RESULTADOS FAVORABLES.</t>
  </si>
  <si>
    <t>3.2.7.</t>
  </si>
  <si>
    <t>Producción de aguardientes y rones por presentaciòn para el exterior.</t>
  </si>
  <si>
    <t>Ejecutar y controlar el programa de producción de aguardientes y rones para el exterior.</t>
  </si>
  <si>
    <t>Durante este mes no se tuvieron pedidos para el exterior por lo cual no se fabrico</t>
  </si>
  <si>
    <t xml:space="preserve">Para este mes se cumple a cabalidad la demanda para el distribuidor de Ecuador, esto teniendo en cuenta que el plan de ventas para el exterior no es para todo el año si no el cumplimiento según pedido realizado. </t>
  </si>
  <si>
    <t>4.</t>
  </si>
  <si>
    <t>GESTIÓN COMERCIAL.</t>
  </si>
  <si>
    <t>4.1.</t>
  </si>
  <si>
    <t xml:space="preserve">Planeación comercial. </t>
  </si>
  <si>
    <t>4.1.1</t>
  </si>
  <si>
    <t xml:space="preserve">Índice de costos y/o gastos para la dependencia Comercial. </t>
  </si>
  <si>
    <t>Determinar la concentracion de los costos / gastos incurridos en la Subgerencia Comercial.</t>
  </si>
  <si>
    <t>(Costos y/o gastos totales incurridos por la Subgerencia Comercial  / Costos y/o gastos totales incurridos por la ELC)*100.</t>
  </si>
  <si>
    <t>Subgerencia Comercial.</t>
  </si>
  <si>
    <t>El 41.57% del total de los gastos incurridos por la Empresa de Licores de Cundinamarca en el mes de enero de 2019 corresponden a costos y gastos generados por parte de la Subgerencia Comercial.</t>
  </si>
  <si>
    <t>El 38,73% del total de los gastos incurridos por la Empresa de Licores de Cundinamarca en el mes de febrero de 2019 corresponden a costos y gastos generados por parte de la Subgerencia Comercial.</t>
  </si>
  <si>
    <t>El 34,17% del total de los gastos incurridos por la Empresa de Licores de Cundinamarca en el mes de marzo de 2019 corresponden a costos y gastos generados por parte de la Subgerencia Comercial.</t>
  </si>
  <si>
    <t xml:space="preserve">Para abril del 2019, la participacion del gasto de la Subgerencia Comercial  fue del 16,86% respecto al total de los gastos de la ELC </t>
  </si>
  <si>
    <t>Para el periodo de Mayo de 2019, la participacion en gasto de la Subgerencia Comercial fue de 18,68% respecto al total de los gastos de la ELC</t>
  </si>
  <si>
    <t>Para el periodo de Junio de 2019, la participacion en gasto de la Subgerencia Comercial fue de 26,76% respecto al total de los gastos de la ELC</t>
  </si>
  <si>
    <t>Para el periodo de Julio de 2019, la participacion en gasto de la Subgerencia Comercial fue de 46,48% respecto al total de los gastos de la ELC</t>
  </si>
  <si>
    <t>Para el periodo de Agosto de 2019, la participacion en gasto de la Subgerencia Comercial fue de 41,69% respecto al total de los gastos de la ELC</t>
  </si>
  <si>
    <t>Para el periodo de Septiembre de 2019, la participacion en gasto de la Subgerencia Comercial fue de 44,11% respecto al total de los gastos de la ELC</t>
  </si>
  <si>
    <r>
      <t>De acuerdo a previas validaciones frente al año anterior se logra visualizar desviación frente a la meta establecida para el indicador, por tanto se requiere proyectar la</t>
    </r>
    <r>
      <rPr>
        <sz val="12"/>
        <color rgb="FFFF0000"/>
        <rFont val="Arial"/>
        <family val="2"/>
      </rPr>
      <t xml:space="preserve"> acción correctiva</t>
    </r>
    <r>
      <rPr>
        <sz val="12"/>
        <color rgb="FF000000"/>
        <rFont val="Arial"/>
        <family val="2"/>
      </rPr>
      <t xml:space="preserve"> correspondiente.</t>
    </r>
  </si>
  <si>
    <t>4.3.</t>
  </si>
  <si>
    <t>Mercadeo y Publicidad.</t>
  </si>
  <si>
    <t>4.3.1</t>
  </si>
  <si>
    <t>Variación en ventas por inversión en publicidad.</t>
  </si>
  <si>
    <t>Observar los ingresos generados en el periodo por la Empresa de Licores de Cundinamarca, con respecto a la inversión anual que la entidad definio por concepto de publicidad, esto con el fin de validar si el grado de eficiencia de los recursos es proporcial o mayor frente a la inversión.</t>
  </si>
  <si>
    <t>(Inversión en publicidad en el periodo / Ingresos generados en el periodo)*100.</t>
  </si>
  <si>
    <t>La Empresa de Licores de Cundinamarca en el mes de enero invirtió tan solo una cifra cercana al 14% de los ingresos generados por ventas para el desarrollo de las estrategias de mercadeo y publicidad.</t>
  </si>
  <si>
    <t>La Empresa de Licores de Cundinamarca en el mes de febrero invirtió tan solo una cifra cercana al 10% de los ingresos generados por ventas para el desarrollo de las estrategias de mercadeo y publicidad.</t>
  </si>
  <si>
    <t>La Empresa de Licores de Cundinamarca en el mes de marzo asigno recursos tan solo por una cifra cercana al 6% de los ingresos generados por ventas en el mismo periodo, para el desarrollo de las estrategias de mercadeo y publicidad.</t>
  </si>
  <si>
    <t>La Empresa de Licores de Cundinamarca en el mes de abril asigno recursos tan solo por una cifra cercana al 6% de los ingresos generados por ventas en el mismo periodo, para el desarrollo de las estrategias de mercadeo y publicidad.</t>
  </si>
  <si>
    <t>La Empresa de Licores de Cundinamarca en el mes de mayo asigno recursos tan solo por una cifra cercana al 6% de los ingresos generados por ventas en el mismo periodo, para el desarrollo de las estrategias de mercadeo y publicidad.</t>
  </si>
  <si>
    <t>La Empresa de Licores de Cundinamarca en el mes de junio asigno recursos tan solo por una cifra cercana al 6% de los ingresos generados por ventas en el mismo periodo, para el desarrollo de las estrategias de mercadeo y publicidad.</t>
  </si>
  <si>
    <t>La Empresa de Licores de Cundinamarca en el mes de julio asigno recursos tan solo por una cifra cercana al 9% de los ingresos generados por ventas en el mismo periodo, para el desarrollo de las estrategias de mercadeo y publicidad.</t>
  </si>
  <si>
    <t>La Empresa de Licores de Cundinamarca en el mes de agosto asigno recursos tan solo por una cifra cercana al 11% de los ingresos generados por ventas en el mismo periodo, para el desarrollo de las estrategias de mercadeo y publicidad.</t>
  </si>
  <si>
    <t>La Empresa de Licores de Cundinamarca en el mes de septiembre asigno recursos tan solo por una cifra cercana al 19% de los ingresos generados por ventas en el mismo periodo, para el desarrollo de las estrategias de mercadeo y publicidad.</t>
  </si>
  <si>
    <t>La utilidad bruta en ventas debe ser por lo menos el 30% del total del presupuesto de la vigencia.</t>
  </si>
  <si>
    <r>
      <t xml:space="preserve">De acuerdo a previas validaciones en el sistema de información SAP y los resultados obtenidos se visualiza </t>
    </r>
    <r>
      <rPr>
        <sz val="12"/>
        <color rgb="FF00B050"/>
        <rFont val="Arial"/>
        <family val="2"/>
      </rPr>
      <t>resultados favorables</t>
    </r>
    <r>
      <rPr>
        <sz val="12"/>
        <rFont val="Arial"/>
        <family val="2"/>
      </rPr>
      <t xml:space="preserve"> para el indicador Variación en ventas por inversión en publicidad.</t>
    </r>
  </si>
  <si>
    <t>4.4.</t>
  </si>
  <si>
    <t xml:space="preserve">Ventas y Distribucción. </t>
  </si>
  <si>
    <t>4.4.1</t>
  </si>
  <si>
    <t>Seguimiento Plan anual de ventas.</t>
  </si>
  <si>
    <t>Medir el nivel de cumplimiento en las ventas de licores según el plan anual de ventas, esto con el fin de establecer nuevas metas y por ende generar mayor posicionamiento en el mercado; así mismo originar un crecimiento sustancial a nivel financiero de acuerdo con la misión de la entidad.</t>
  </si>
  <si>
    <t># de Unid vendidas en el periodo / # de Unid programadas a vender en el periodo.</t>
  </si>
  <si>
    <t>Unidades 750ml.</t>
  </si>
  <si>
    <t>Para el mes de enero solo el distribuidor de Cundinamarca realizo compra, lo que represento el cumplimiento de solo el 83% de lo presupuestado.</t>
  </si>
  <si>
    <t>Para el mes de febrero los distribuidores de arauca, atlantico y cundinamarca afectados por temas de stocks de inventario y precios de mercado tan solo cumplieron el 84% de las cantidades presupuestadas.</t>
  </si>
  <si>
    <t>Para el mes de febrero los distribuidores de arauca y cundinamarca fueron los unicos que realizaron una compra limitada,  afectados  precios de mercado tan solo cumplieron el 87% de las cantidades presupuestadas.</t>
  </si>
  <si>
    <t>Aun cuando se siguieron presentando inconvenientes de stock elevado de producto y disminucion en la demanda, se cumpli con el 95% de las cantidades presupuestadas.</t>
  </si>
  <si>
    <t>Para el mes de mayo solo el distribuidor de cundinamarca realizo compra, afectando el cumplimiento de la meta mensual.</t>
  </si>
  <si>
    <t>Para el mes de junio  se efectuo la venta al exterior y se reactivaron las ventas a otros departamentos luego de la variacion de precios por la modificacion de la base DANE.</t>
  </si>
  <si>
    <t>Para el mes de Julio los distribuidores de cundinamarca, arauca y tolima realizaron compra, se sigue presentando una disminucion en la demanda y la expectativa de algunos canales, se realizo solo el 96% de lo programado para el mes.</t>
  </si>
  <si>
    <t>Para el mes de Agosto los distribuidores atlantico y nariño realizaron las compras planeadas segun vista de la subgerencia comercial, cundinamarca, arauca y tolima realizaron compra con tendencia posotiva para el mes, se realizo el 101% de lo programado para el mes.</t>
  </si>
  <si>
    <t>Para el mes de Septiembre solo los distribuidores de cundinamarca, atlantico y meta realizaron las compras con tendencia de disminucion en la demanda , se realizo solo el 96% de lo programado para el mes.</t>
  </si>
  <si>
    <t>De acuerdo a previas validaciones en reporte general de ventas se visualiza comportamiento normal, lo anterior teniendo en cuenta el giro ordinario del negocio.</t>
  </si>
  <si>
    <t>4.4.2</t>
  </si>
  <si>
    <t>Indice de cumplimiento de las Ventas Cund/Bgta.</t>
  </si>
  <si>
    <t>Medir el nivel de cumplimiento en las ventas de licores en el departamento de Cundinamarca, esto con el fin de establecer si efectivamente se está dando debida ejecución al Plan Anual de ventas para el departamento.</t>
  </si>
  <si>
    <t>Para el mes de enero el distribuidor realizó el 95% de la compra programada para el mes.</t>
  </si>
  <si>
    <t>Para el mes de febrero el distribuidor realizó el 97% de la compra programada para el mes.</t>
  </si>
  <si>
    <t>Para el mes de marzo el distribuidor realizó el 97% de la compra programada para el mes.</t>
  </si>
  <si>
    <t>Para el mes de Abril el distribuidor realizó el 100% de la compra programada para el mes.</t>
  </si>
  <si>
    <t>Para el mes de Mayo el distribuidor realizó el 100% de la compra programada para el mes.</t>
  </si>
  <si>
    <t>Para el mes de Junio el distribuidor realizó el 100% de la compra programada para el mes.</t>
  </si>
  <si>
    <t>Para el mes de Julio el distribuidor realizó el 100% de la compra compensada programada para el mes.</t>
  </si>
  <si>
    <t>Para el mes de Agosto el distribuidor realizó el 100% de la compra compensada programada para el mes.</t>
  </si>
  <si>
    <t>Para el mes de Septiembre el distribuidor realizó el 100% de la compra compensada programada para el mes.</t>
  </si>
  <si>
    <t>4.4.3</t>
  </si>
  <si>
    <t>Indice de cumplimiento de las Ventas Otros Departamentos.</t>
  </si>
  <si>
    <t>Medir el nivel de cumplimiento en las ventas de licores en otros departamentos, esto con el fin de establecer si efectivamente se está dando debida ejecución al Plan Anual de ventas a nivel nacional.</t>
  </si>
  <si>
    <t>n/a</t>
  </si>
  <si>
    <t>Por una estrategia de evaluacion de las condiciones de precios en el mercado no se realizaron ventas durante el mes de enero de 2019.</t>
  </si>
  <si>
    <t>Para el mes de Febrero  debido a dificultades aun persistentes en el mercado por stocks elevados, baja rotacion por merma en la demanda debido a nivel de precios del mercado tan solo los distribuidores de arauca y atlantico realizaron una compra limitada, esto represento solo el 18% de lo programado para el mes.</t>
  </si>
  <si>
    <t>Para el mes de Marzo tan solo el distribuidor de arauca realizo compra debido a dificultades aun persistentes en el mercado, esto represento solo el 1% de lo programado para el mes.</t>
  </si>
  <si>
    <t>Para el mes de Abril los distribuidores de arauca, atlantico, meta y tolima realizaron compra, debido a inconvenientes en su rotacion de inventario por disminucion en la demanda esto represento solo el 13% de lo programado para el mes.</t>
  </si>
  <si>
    <t>Para el mes de Mayo ninguno de los distribuidores realizo compra, debido según ellos a una  disminucion marcada en la demanda, y la expectativa de algunos canales en una posible variacion de precios.</t>
  </si>
  <si>
    <t>Para el mes de Junio los distribuidores de arauca, meta y tolima realizaron compra, debido a inconvenientes en su rotacion de inventario por disminucion en la demanda y la expectativa de algunos canales en una posible variacion de precios, se realizo solo el 45% de lo programado para el mes.</t>
  </si>
  <si>
    <t>Para el mes de Julio los distribuidores de arauca y tolima realizaron compra, se sigue presentando una disminucion en la demanda y la expectativa de algunos canales, se realizo solo el 22% de lo programado para el mes.</t>
  </si>
  <si>
    <t>Para el mes de Agosto los distribuidores de atlantico y nariño realizaron las compras planeadas segun vista de la subgerencia comercial, arauca y tolima realizaron compra con tendencia de disminucion en la demanda , se realizo solo el 66% de lo programado para el mes.</t>
  </si>
  <si>
    <t>Para el mes de Septiembre solo los distribuidores de atlantico y meta realizaron las compras con tendencia de disminucion en la demanda , se realizo solo el 22% de lo programado para el mes.</t>
  </si>
  <si>
    <t>RESULTADOS FAVORABLES</t>
  </si>
  <si>
    <t>4.4.4</t>
  </si>
  <si>
    <t>Índice de cumplimiento de las Ventas Exterior.</t>
  </si>
  <si>
    <t>Medir el nivel de cumplimiento en las ventas de licores en el exterior, esto con el fin de establecer si efectivamente se está dando debida ejecución al Plan Anual de ventas para el exterior.</t>
  </si>
  <si>
    <t xml:space="preserve">No se consolidaron operaciones. </t>
  </si>
  <si>
    <t xml:space="preserve">No se consolidaron operaciones </t>
  </si>
  <si>
    <t>Se consolido la operación con el distribuidor de EEUU y se vendieron 95.280 unidades convertidas a 750ml, lo que cubre el 100% de lo proyectado para todo el año.</t>
  </si>
  <si>
    <t>La meta establecida para el indicador Índice de cumplimiento de las Ventas Exterior, se le dio cumplimiento de acuerdo con los criterior planteados.</t>
  </si>
  <si>
    <t>4.4.5</t>
  </si>
  <si>
    <t>Índice de cumplimiento en ventas de alcohol.</t>
  </si>
  <si>
    <t>Medir el nivel de cumplimiento en las ventas de alcohol en el departamento de Cundinamarca, esto con el fin de establecer si efectivamente se está dando debida ejecución al Plan Anual de ventas para el departamento.</t>
  </si>
  <si>
    <t># de litros vendidos en el periodo / # de litros programados a vender en el periodo.</t>
  </si>
  <si>
    <t>Litros.</t>
  </si>
  <si>
    <t>En el mes de enero no se consolidó la venta de alcohol con ningun cliente, debido a condiciones de baja demanda y stock de nuestros clientes.</t>
  </si>
  <si>
    <t>En ejecucion del plan comercial se logro la venta del 49% de la cantidades de litros programadas, ya en un inicio normal de operaciones de algunos clientes principalmente los fabricantes de licores.</t>
  </si>
  <si>
    <t>En ejecucion del plan comercial se logro la venta de solo 48% de la unidades programadas, esto debido a que las operaciones se vieron afectadas por inconvenientes con el personal y la sede de despacho en bogota.</t>
  </si>
  <si>
    <t>En ejecucion del plan comercial se logro la venta de solo 2% de la unidades programadas, esto debido a que las operaciones se vieron afectadas por inconvenientes con la disponibilidad de material.</t>
  </si>
  <si>
    <t>En ejecucion del plan comercial se logro la venta de solo 49% de la unidades programadas, esto debido a que las operaciones se vieron afectadas por inconvenientes con la disponibilidad de material y traslado de sede de despacho.</t>
  </si>
  <si>
    <t>En ejecucion del plan comercial se logro la venta el 91% de la unidades programadas, esto debido al reinicio de las operaciones en la sede de despacho en cota.</t>
  </si>
  <si>
    <t>En ejecucion del plan comercial se logro la venta el 85% de la unidades programadas en la sede de despacho en cota.</t>
  </si>
  <si>
    <t>En ejecucion del plan comercial se logro la venta el 65% de la unidades programadas en la sede de despacho en cota.</t>
  </si>
  <si>
    <t>En ejecucion del plan comercial se logro la venta el 115% de la unidades programadas en la sede de despacho en cota.</t>
  </si>
  <si>
    <t>Se requiere proyectar acción de mejora en lo que respecta al criterio venta de alcohol, lo anterior teniendo en cuenta el comportamiento de las ventas durante la vigencia 2019 y la meta trazada por la gestión comercial de la entidad.</t>
  </si>
  <si>
    <t>PROCESOS DE APOYO.</t>
  </si>
  <si>
    <t>5.</t>
  </si>
  <si>
    <t>GESTIÓN FINANCIERA.</t>
  </si>
  <si>
    <t>5.1.</t>
  </si>
  <si>
    <t>Presupuesto.</t>
  </si>
  <si>
    <t>5.1.1.</t>
  </si>
  <si>
    <t>Índice de costos / gastos para la Subgerencia Financiera.</t>
  </si>
  <si>
    <t>Determinar el grado de eficiencia con que se emplean los recursos (costos / gastos incurridos en la Subgerencia Financiera).</t>
  </si>
  <si>
    <t>(Costos y/o gastos totales incurridos por la Subgerencia Financiera  / Costos y/o gastos totales incurridos por la ELC)*100.</t>
  </si>
  <si>
    <t>Subgerencia Financiera.</t>
  </si>
  <si>
    <t>Trimestral.</t>
  </si>
  <si>
    <t>El 10,73% del total de los gastos incurridos por la Empresa de Licores de Cundinamarca en el mes de enero de 2019 corresponden a costos y gastos generados por parte de la Subgerencia Financiera.</t>
  </si>
  <si>
    <t>El 11,45% del total de los gastos incurridos por la Empresa de Licores de Cundinamarca en el mes de febrero de 2019 corresponden a costos y gastos generados por parte de la Subgerencia Financiera.</t>
  </si>
  <si>
    <t>El 17,99% del total de los gastos incurridos por la Empresa de Licores de Cundinamarca en el mes de marzo de 2019 corresponden a costos y gastos generados por parte de la Subgerencia Financiera.</t>
  </si>
  <si>
    <t xml:space="preserve">Para abril del 2019, la participacion del gasto de la Subgerencia Financiera   fue del 11,55% respecto al total de los gastos de la ELC </t>
  </si>
  <si>
    <t>Para el periodo de Mayo de 2019, la participacion en gasto de la Subgerencia Financiera fue de 10.04% respecto al total de los gastos de la ELC</t>
  </si>
  <si>
    <t>Para el periodo de Junio de 2019, la participacion en gasto de la Subgerencia Financiera fue de 32,93% respecto al total de los gastos de la ELC</t>
  </si>
  <si>
    <t>Para el periodo de Julio de 2019, la participacion en gasto de la Subgerencia Financiera fue de 7,05% respecto al total de los gastos de la ELC</t>
  </si>
  <si>
    <t>Para el periodo de Agosto de 2019, la participacion en gasto de la Subgerencia Financiera fue de 19,25% respecto al total de los gastos de la ELC</t>
  </si>
  <si>
    <t>Para el periodo de Septiembre de 2019, la participacion en gasto de la Subgerencia Financiera fue de 19,83% respecto al total de los gastos de la ELC</t>
  </si>
  <si>
    <r>
      <t xml:space="preserve">De acuerdo con previas validaciones se visualiza que frente a la vigencia 2018, se obtiene </t>
    </r>
    <r>
      <rPr>
        <sz val="12"/>
        <color rgb="FF00B050"/>
        <rFont val="Arial"/>
        <family val="2"/>
      </rPr>
      <t>resultados favorables.</t>
    </r>
  </si>
  <si>
    <t>5.1.2.</t>
  </si>
  <si>
    <t>Cumplimiento Ejecuciòn Presupuestal de Ingresos</t>
  </si>
  <si>
    <t>Medir el porcentaje de cumplimiento de los ingresos presupuestados, en términos de reconocimientos acumulados, conforme a los ingresos definitivos apropiados.</t>
  </si>
  <si>
    <t>Reconocimientos Acumulados / Ingresos Apropiados</t>
  </si>
  <si>
    <t>Del total de los ingresos presupuestados para el  año 2019 la empresa cumplió con un 32,29% en el  primer trimestre del periodo.</t>
  </si>
  <si>
    <t>Del total de los ingresos presupuestados para la presente vigencia la Empresa ejecutó el 47,39% a junio 30 de 2019.</t>
  </si>
  <si>
    <t>Del total de los ingresos presupuestados para la presente vigencia la Empresa ejecutó el 54,73% a septiembre 30 de 2019.</t>
  </si>
  <si>
    <t>&gt;= 100%</t>
  </si>
  <si>
    <r>
      <t xml:space="preserve">De acuerdo con los resultados reportados con corte a 30 de septiembre de 2019, se visualiza desviación de 20,27 puntos basicos, por tanto se requiere proyectar la correspondiente </t>
    </r>
    <r>
      <rPr>
        <sz val="12"/>
        <color rgb="FFFF0000"/>
        <rFont val="Arial"/>
        <family val="2"/>
      </rPr>
      <t>acción correctiva</t>
    </r>
    <r>
      <rPr>
        <sz val="12"/>
        <color theme="1"/>
        <rFont val="Arial"/>
        <family val="2"/>
      </rPr>
      <t>.</t>
    </r>
  </si>
  <si>
    <t>ACCIÓN CORRECTIVA</t>
  </si>
  <si>
    <t>5.1.4.</t>
  </si>
  <si>
    <t>Cumplimiento Ejecuciòn Presupuestal de Gastos.</t>
  </si>
  <si>
    <t>Medir el porcentaje de cumplimiento de ejecución presupuestal de gastos, frente al presupuesto definitivo apropiado</t>
  </si>
  <si>
    <t>Compromisos Acumulados / Presupuesto Definitivo de Gastos Apropiado</t>
  </si>
  <si>
    <t>De los gastos presupuestados para el año 2019, la empresa ejecutó  en el primer trimestre del período un 30,59%.</t>
  </si>
  <si>
    <t>De los gastos presupuestados para la presente vigencia la Empresa ha ejecutado a junio 30 de 2019 el 43,04%.</t>
  </si>
  <si>
    <t>De los gastos presupuestados para la presente vigencia la Empresa ha ejecutado a septiembre 30 de 2019 el 72,87%.</t>
  </si>
  <si>
    <t>&lt;= 81%</t>
  </si>
  <si>
    <r>
      <t xml:space="preserve">De acuerdo con los resultados obtenidos para el tercer corte de la vigencia 2019, se visualiza </t>
    </r>
    <r>
      <rPr>
        <sz val="12"/>
        <color rgb="FF00B050"/>
        <rFont val="Arial"/>
        <family val="2"/>
      </rPr>
      <t xml:space="preserve">resultados favorable </t>
    </r>
    <r>
      <rPr>
        <sz val="12"/>
        <color theme="1"/>
        <rFont val="Arial"/>
        <family val="2"/>
      </rPr>
      <t>para el indicador de cumplimiento ejecucción presupuestal de gastos.</t>
    </r>
  </si>
  <si>
    <t>5.2.</t>
  </si>
  <si>
    <t>Tesorería.</t>
  </si>
  <si>
    <t>5.2.1.</t>
  </si>
  <si>
    <t>Razón Corriente.</t>
  </si>
  <si>
    <t>Indicar la capacidad que tiene la empresa para cumplir con sus obligaciones a corto plazo</t>
  </si>
  <si>
    <t>Liquidez</t>
  </si>
  <si>
    <t xml:space="preserve"> Activo Corriente / Pasivo Corriente.</t>
  </si>
  <si>
    <t>Pesos.</t>
  </si>
  <si>
    <t>Indicador positivo que siginifica que por cada peso que se debe, se tienen 4,7 para cubrirlo</t>
  </si>
  <si>
    <t>Por cada peso que la Empresa debe, cuenta con $5,63 pesos para cubrirlo</t>
  </si>
  <si>
    <t>Indicador positivo que siginifica que por cada peso que se debe, se tienen 6,86 para cubrirlo</t>
  </si>
  <si>
    <t>Indicador positivo que siginifica que por cada peso que se debe, se tienen 8,37 para cubrirlo</t>
  </si>
  <si>
    <t>Por cada peso que la Empresa debe, cuenta con $1,75 pesos para cubrirlo</t>
  </si>
  <si>
    <t>Por cada peso que la Empresa debe, cuenta con $1,76 pesos para cubrirlo</t>
  </si>
  <si>
    <t>Por cada peso que la Empresa debe, cuenta con $2,03 pesos para cubrirlo</t>
  </si>
  <si>
    <t>Por cada peso que la Empresa debe, cuenta con $1,97 pesos para cubrirlo.</t>
  </si>
  <si>
    <r>
      <t xml:space="preserve">De acuerdo con la meta y línea base el indicador razón corriente se encuentra desviado, por tanto se requiere proyectar acción de </t>
    </r>
    <r>
      <rPr>
        <sz val="12"/>
        <color rgb="FFFFC000"/>
        <rFont val="Arial"/>
        <family val="2"/>
      </rPr>
      <t xml:space="preserve">oportunidad de mejora </t>
    </r>
    <r>
      <rPr>
        <sz val="12"/>
        <color theme="1"/>
        <rFont val="Arial"/>
        <family val="2"/>
      </rPr>
      <t>correspondiente, lo anterior conforme a los resultados reportados para el tercer corte del año.</t>
    </r>
  </si>
  <si>
    <t>.</t>
  </si>
  <si>
    <t>5.2.2.</t>
  </si>
  <si>
    <t>Capital Neto de Trabajo.</t>
  </si>
  <si>
    <t>Mostrar el valor que le queda a la Empresa despues de pagar sus pasivos de corto plazo, permitiendo la toma de decisiones de inversiòn temporal</t>
  </si>
  <si>
    <t>Activo Corriente - Inventarios / Pasivo Corriente.</t>
  </si>
  <si>
    <t>Indicador positivo que siginifica que por cada peso que se debe, se tienen 3,4 para cubrirlo, sin realizar los inventarios</t>
  </si>
  <si>
    <t>Indicador positivo que siginifica que por cada peso que se debe, se tienen 3,5 para cubrirlo, sin realizar los inventarios</t>
  </si>
  <si>
    <t>Por cada peso de obligaciones corrientes que adeuda la Empresa se cuenta con $4,13 indicador para cubrilos sin contar con la venta de sus existencias.</t>
  </si>
  <si>
    <t>Indicador positivo que siginifica que por cada peso que se debe, se tienen 4,95 para cubrirlo, sin realizar los inventarios</t>
  </si>
  <si>
    <t>Indicador positivo que siginifica que por cada peso que se debe, se tienen 6,39 para cubrirlo, sin realizar los inventarios</t>
  </si>
  <si>
    <t>Por cada peso de obligaciones corrientes que adeuda la Empresa se cuenta con $1,28 para cubrilos sin contar con la venta de sus inventarios.</t>
  </si>
  <si>
    <t>Por cada peso de obligaciones corrientes que adeuda la Empresa se cuenta con $1,30 para cubrilos sin contar con la venta de sus inventarios.</t>
  </si>
  <si>
    <t>Por cada peso de obligaciones corrientes que adeuda la Empresa se cuenta con $1,44 para cubrilos sin contar con la venta de sus inventarios.</t>
  </si>
  <si>
    <t>Por cada peso de obligaciones corrientes que adeuda la Empresa se cuenta con $1,39 para cubrilos sin contar con la venta de sus inventarios.</t>
  </si>
  <si>
    <t>&gt; 1.5</t>
  </si>
  <si>
    <r>
      <t xml:space="preserve">De acuerdo con la meta y línea base el indicador capital neto de trabajo se encuentra desviado, por tanto se requiere proyectar acción de </t>
    </r>
    <r>
      <rPr>
        <sz val="12"/>
        <color rgb="FFFFC000"/>
        <rFont val="Arial"/>
        <family val="2"/>
      </rPr>
      <t xml:space="preserve">oportunidad de mejora </t>
    </r>
    <r>
      <rPr>
        <sz val="12"/>
        <color theme="1"/>
        <rFont val="Arial"/>
        <family val="2"/>
      </rPr>
      <t>correspondiente, lo anterior conforme a los resultados reportados para el tercer corte del año.</t>
    </r>
  </si>
  <si>
    <t>5.2.4.</t>
  </si>
  <si>
    <t>Endeudamiento</t>
  </si>
  <si>
    <t>Por cada peso invertido en activos, cuanto esta financiado por terceros</t>
  </si>
  <si>
    <t>Pasivo Total / Activo Total</t>
  </si>
  <si>
    <t>Porcentaje.</t>
  </si>
  <si>
    <t>El 49% de los activos está financiado por terceros</t>
  </si>
  <si>
    <t>Del 100% del total de activos de la Empresa ha sido financiado en un 48% por recursos de terceros. Por cada $100 que la Empresa ha invertido, los acreedores han financiado $48</t>
  </si>
  <si>
    <t>El 47% de los activos está financiado por terceros</t>
  </si>
  <si>
    <t>El 46% de los activos está financiado por terceros</t>
  </si>
  <si>
    <t>Del 100% del total de activos de la Empresa ha sido financiado en un 57% por recursos de terceros. Por cada $100 que la Empresa ha invertido, los acreedores han financiado $57</t>
  </si>
  <si>
    <t>Del 100% del total de activos de la Empresa ha sido financiado en un 54% por recursos de terceros. Por cada $100 que la Empresa ha invertido, los acreedores han financiado $54</t>
  </si>
  <si>
    <t>Del 100% del total de activos de la Empresa ha sido financiado en un 54% por recursos de terceros. Por cada $100 que la Empresa ha invertido, los acreedores han financiado $54.</t>
  </si>
  <si>
    <r>
      <t xml:space="preserve">De acuerdo con los resultados reportados y los criterios linea base y meta se logra visualizar </t>
    </r>
    <r>
      <rPr>
        <sz val="12"/>
        <color rgb="FF00B050"/>
        <rFont val="Arial"/>
        <family val="2"/>
      </rPr>
      <t>resultados favorables</t>
    </r>
    <r>
      <rPr>
        <sz val="12"/>
        <color theme="1"/>
        <rFont val="Arial"/>
        <family val="2"/>
      </rPr>
      <t xml:space="preserve"> para el indicador endeudamiento.</t>
    </r>
  </si>
  <si>
    <t>Contabilidad.</t>
  </si>
  <si>
    <t>5.4.3.</t>
  </si>
  <si>
    <t>Margen Operaciones de Utilidad.</t>
  </si>
  <si>
    <t>Medir el margen de operaciones de utilidad en términos de la utilidad operacional sobre las ventas netas.</t>
  </si>
  <si>
    <t>Margen Operaciones de Utilidad = Utilidad Operacional / Ventas Netas.</t>
  </si>
  <si>
    <t>Por cada peso de ingreso que se genera,  la Empresa obiente $ 0,34 de utilidad antes de cubir los costos financieros e impuestos.</t>
  </si>
  <si>
    <t>Por cada peso de ingreso que se genera,  la Empresa obiente $ 0,32 de utilidad antes de cubir los costos financieros e impuestos</t>
  </si>
  <si>
    <t>Por cada peso de ingreso que se genera,  la Empresa obiente $ 0,31 de utilidad antes de cubir los costos financieros e impuestos.</t>
  </si>
  <si>
    <r>
      <t xml:space="preserve">De acuerdo con los resultados reportados y los criterios linea base y meta se logra visualizar </t>
    </r>
    <r>
      <rPr>
        <sz val="12"/>
        <color rgb="FF00B050"/>
        <rFont val="Arial"/>
        <family val="2"/>
      </rPr>
      <t>resultados favorables</t>
    </r>
    <r>
      <rPr>
        <sz val="12"/>
        <color theme="1"/>
        <rFont val="Arial"/>
        <family val="2"/>
      </rPr>
      <t xml:space="preserve"> para el indicador margén operaciones de utilidad.</t>
    </r>
  </si>
  <si>
    <t>5.4.4.</t>
  </si>
  <si>
    <t>Margen Neto de Utilidad.</t>
  </si>
  <si>
    <t>Medir el margen neto de utilidad en términos de la utilidad neta sobre las ventas netas.</t>
  </si>
  <si>
    <t>Margen Neto de Utilidad = Utilidad Neta / Ventas Netas.</t>
  </si>
  <si>
    <t>Por cada peso de Ingreso generado la Empresa obtuvo $ 0,47 despues de cubrir los costos financieros y los impuestos.</t>
  </si>
  <si>
    <t>Por cada peso de Ingreso generado la Empresa obtuvo $ 0,43 despues de cubrir los costos financieros y los impuestos</t>
  </si>
  <si>
    <t>Por cada peso de Ingreso generado la Empresa obtuvo $ 0,40 despues de cubrir los costos financieros y los impuestos.</t>
  </si>
  <si>
    <r>
      <t xml:space="preserve">De acuerdo con los resultados reportados y los criterios linea base y meta se logra visualizar </t>
    </r>
    <r>
      <rPr>
        <sz val="12"/>
        <color rgb="FF00B050"/>
        <rFont val="Arial"/>
        <family val="2"/>
      </rPr>
      <t>resultados favorables</t>
    </r>
    <r>
      <rPr>
        <sz val="12"/>
        <color theme="1"/>
        <rFont val="Arial"/>
        <family val="2"/>
      </rPr>
      <t xml:space="preserve"> para el indicador margén neto de utilidad.</t>
    </r>
  </si>
  <si>
    <t>5.4.5.</t>
  </si>
  <si>
    <t>Rendimiento de Patrimonio.</t>
  </si>
  <si>
    <t>Medir el rendimiento de patrimonio en términos de utilidad del ejercicio sobre el patrimonio.</t>
  </si>
  <si>
    <t xml:space="preserve"> Utilidad del Ejercicio / Patrimonio.</t>
  </si>
  <si>
    <t>A los inversionistas se le  generó un 4% de rentabilidad sobre su inversión durante el primer trimestre del 2019</t>
  </si>
  <si>
    <t>A los inversionistas se le  generó un 10% de rentabilidad sobre su inversión durante el primer trimestre del 2019</t>
  </si>
  <si>
    <t xml:space="preserve">.  </t>
  </si>
  <si>
    <t>&gt;= 15%</t>
  </si>
  <si>
    <r>
      <t xml:space="preserve">De acuerdo con los resultados reportados con corte a 30 de septiembre de 2019, se visualiza desviación de 9,03 puntos basicos, por tanto se requiere proyectar la correspondiente </t>
    </r>
    <r>
      <rPr>
        <sz val="12"/>
        <color rgb="FFFF0000"/>
        <rFont val="Arial"/>
        <family val="2"/>
      </rPr>
      <t>acción correctiva</t>
    </r>
    <r>
      <rPr>
        <sz val="12"/>
        <color theme="1"/>
        <rFont val="Arial"/>
        <family val="2"/>
      </rPr>
      <t>.</t>
    </r>
  </si>
  <si>
    <t>6.</t>
  </si>
  <si>
    <t>GESTIÓN ADMINISTRATIVA.</t>
  </si>
  <si>
    <t>6.1.</t>
  </si>
  <si>
    <t>Gestión de Recursos Físicos.</t>
  </si>
  <si>
    <t>6.1.1.</t>
  </si>
  <si>
    <t>Consumo papel.</t>
  </si>
  <si>
    <t xml:space="preserve">Reducir el consumo de papel, con el fin de dar cumplimiento del objetivo estratégico, el cual obecece a eficiencia y austeridad de los costos y gastos incurridos por la Empresa de Licores de Cundinamarca. </t>
  </si>
  <si>
    <t>((Consumo de papel mes vigencia actual / Consumo de papel mes vigencia anterior) - 1)</t>
  </si>
  <si>
    <t>Subgerencia Administrativa.</t>
  </si>
  <si>
    <t xml:space="preserve">Mensual. </t>
  </si>
  <si>
    <t>Para el periodo enero 2019, se redujo el consumo de papel en un 88% comparado con la vigencia anterior, se presenta un consumo de 6 resmas de papel carta y 0 de papel oficio.</t>
  </si>
  <si>
    <t>Para el periodo febrero 2019, se redujo el consumo de papel en un 25% comparado con la vigencia anterior, se presenta un consumo de 35 resmas de papel carta y 8 de papel oficio.</t>
  </si>
  <si>
    <t>Para el periodo marzo 2019, aumento el consumo de papel en un 15% comparado con la vigencia anterior, se presenta un consumo de 19 resmas de papel carta y 11 de papel oficio.</t>
  </si>
  <si>
    <t>Para el periodo abril 2019, disminuyo el consumo de papel en un 69% comparado con la vigencia anterior, se presenta un consumo de 08 resmas de papel carta y 00 de papel oficio.</t>
  </si>
  <si>
    <t>Para el periodo mayo 2019, aumento el consumo de papel en un 32% comparado con la vigencia anterior, se presenta un consumo de 35 resmas de papel carta y 14 de papel oficio.</t>
  </si>
  <si>
    <t>Para el periodo junio 2019, disminuyo el consumo de papel en un 22% comparado con la vigencia anterior, se presenta un consumo de 30 resmas de papel carta y 12 de papel oficio.</t>
  </si>
  <si>
    <t>Para el mes de julio 2019, el consumo de papel presenta una variación de 49%, generando incremento respecto al consumo registrado en la vigencia 2018 de 20 resmas; el mayor consumo de papel se presenta en las Subgerencias de Talento Humano y Administrativa con 10 resmas de carta y 5 de oficio cada una, adicional, también se presentó un alto consumo de resmas de oficio en la Oficina de Tesorería con 10 resmas oficio.</t>
  </si>
  <si>
    <t>Para el mes de Agosto de 2019, el consumo de papel presenta disminución comparado con la vigencia anterior; toda vez que la variación registrada es del -86%, realizando entrega de solo 6 resmas de carta y oficio para la Gerencia General.</t>
  </si>
  <si>
    <t>Para este mes, se observa incremento en el consumo de papel en un 12%; teniendo el mayor consumo la Subgerencia Comercial con 19 resmas de carta y 10 de oficio.</t>
  </si>
  <si>
    <t>729 resmas año 2017</t>
  </si>
  <si>
    <t>Disminución del 10% Anual.</t>
  </si>
  <si>
    <r>
      <t>El promedio de los tres periodos referentes al tercer corte del año, el comportamiento del indicador es</t>
    </r>
    <r>
      <rPr>
        <sz val="12"/>
        <color rgb="FF00B050"/>
        <rFont val="Arial"/>
        <family val="2"/>
      </rPr>
      <t xml:space="preserve"> favorable.</t>
    </r>
  </si>
  <si>
    <t>6.1.2.</t>
  </si>
  <si>
    <t>Administración de Materiales Adquiridos.</t>
  </si>
  <si>
    <t>Medir el nivel de cumplimiento de reservas solicitadas de materias primas y/o insumos para producción.</t>
  </si>
  <si>
    <t>(Total ordenes de transporte entregadas a producción / Total reservas solicitadas por producción)*100</t>
  </si>
  <si>
    <t>Para el periodo enero de 2019, se atendieron oportunamente  el 100% de las reservas solicitadas de materias primas y/o insumos para producción.</t>
  </si>
  <si>
    <t>Para el periodo febrero de 2019, se atendieron oportunamente el 100% de las reservas solicitadas de materias primas y/o insumos para producción.</t>
  </si>
  <si>
    <t>Para el periodo marzo de 2019, se atendieron oportunamente  el 100% de las reservas solicitadas de materias primas y/o insumos para producción.</t>
  </si>
  <si>
    <t>Para el periodo abril de 2019, se atendieron oportunamente  el 100% de las reservas solicitadas de materias primas y/o insumos para producción.</t>
  </si>
  <si>
    <t>Para el periodo mayo de 2019, se atendieron oportunamente  el 100% de las reservas solicitadas de materias primas y/o insumos para producción.</t>
  </si>
  <si>
    <t>Para el periodo junio de 2019, se atendieron oportunamente  el 100% de las reservas solicitadas de materias primas y/o insumos para producción.</t>
  </si>
  <si>
    <t>Para el periodo julio de 2019, se atendieron oportunamente  el 100% de las reservas solicitadas de materias primas é insumos para producción.</t>
  </si>
  <si>
    <t>Para el periodo Agosto de 2019, se atendieron oportunamente  el 100% de las reservas solicitadas de materias primas é insumos para producción.</t>
  </si>
  <si>
    <t>Para el periodo Septiembre de 2019, se atendieron oportunamente  el 100% de las reservas solicitadas de materias primas é insumos para producción.</t>
  </si>
  <si>
    <t>70- 100%</t>
  </si>
  <si>
    <r>
      <t xml:space="preserve">Se visualiza de acuerdo previas validaciones </t>
    </r>
    <r>
      <rPr>
        <sz val="12"/>
        <color rgb="FF00B050"/>
        <rFont val="Arial"/>
        <family val="2"/>
      </rPr>
      <t>resultados favorables</t>
    </r>
    <r>
      <rPr>
        <sz val="12"/>
        <color theme="1"/>
        <rFont val="Arial"/>
        <family val="2"/>
      </rPr>
      <t>.</t>
    </r>
  </si>
  <si>
    <t>6.1.3.</t>
  </si>
  <si>
    <t>Control de inventarios.</t>
  </si>
  <si>
    <t>Mantener control de  los inventarios en bodega de materias primas e insumos mediante tomas físicas.</t>
  </si>
  <si>
    <t>(Valor de materias primas e insumos trazadores por contratos / valor total contratos de materias primas e insumos trazadores) *100</t>
  </si>
  <si>
    <t>Semestral.</t>
  </si>
  <si>
    <t>Medición Semestral.</t>
  </si>
  <si>
    <t xml:space="preserve">El resultado del control de inventarios para el primer semestre arroja una toma física del 89.19% frente a la información del sistema SAP,  la  mayor participación de estos inventaros  la tiene la TAFIA, esta materia prima presenta disminución en su volumen por  cambios físicos motivados por la evaporación, debido a factores como  añejamiento a través de los años, hermeticidad  y absorción de la madera en los barriles, reacciones químicas que ocurren dentro del barril generando C012, temperatura ambiental, circulación del aires.
</t>
  </si>
  <si>
    <t>Medición y análisis semestral.</t>
  </si>
  <si>
    <t>6.1.4.</t>
  </si>
  <si>
    <t>Relación de Inventarios.</t>
  </si>
  <si>
    <t>Medir porcentualmente nivel de ejecucción en pesos en la entrega de materias primas e insumos trazadores para la producción según contratos.</t>
  </si>
  <si>
    <t>( Ejecución en pesos de contratos de materias primas e insumos trazadores / Valor total en pesos de los contratos de materias primas e insumos trazadores), dicha formula se desagregara por alcohol, tafia, etiqueta, envase tetra, envase de vidrio, cartón y tapa.</t>
  </si>
  <si>
    <t>Subgerencias Administrativa, Comercial y Técnica.</t>
  </si>
  <si>
    <t>En el primer trimestre del año 2019, el nivel de ejecución de los contratos de materias primas e insumos trazadores para la producción de la ELC se encuentra en un 17%. Lo anterior teniendo en cuenta que:
*El contrato de compra alcohol se encuentra ejecutado en un 7%, toda vez que se realizó nueva contratación con la Licorera del Valle, se ha realizado un ingreso de 398.969,90 litros de alcohol por valor de $1.151.564.358 durante los meses de enero a marzo de 2019.
*Se realizó el ingreso de tafia por valor de $ 1.620.533.604 correspondiente a  185.000 litros de tafia de 4-5 años. El contrato fue adicionado en el mes de diciembre de 2018; el único proveedor de esta materia prima es Casa Santana. El porcentaje de ejecución se encuentra en 21%.
*El contrato con Cadena, proveedor de las etiquetas, se ha ejecutado en un 34%, teniendo encuenta que se viene ejecutando desde la vigencia anterior.
*El contrato de suministro de envases Tetra Pak se ha ejecutado en un 3%, lo cual corresponde al ingreso de 1.102.900 unidades de envase por valor de $ 236.645.274.
* Se realizó el ingreso de 3.974.010 unidades de envase de vidrio por valor de $3.118.382.930, queda ejecutado el contrato con Peldar al 100%.
*Se suscribió un nuevo contrato con el proveedor Carton de Colombia, el cual, se ha ejecutado en un 27%.
*Se suscribió un nuevo contrato con el proveedor Guala, por valor de $3.360.000.000, del cual se ha ejecutado un 68% durante el primer trimestre 2019.</t>
  </si>
  <si>
    <t xml:space="preserve">En el segundo trimestre del año 2019, el nivel de ejecución de los contratos de materias primas e insumos trazadores para la producción de la ELC disminuyo frente al primer trimestre,  se encuentra en un 9,3%, lo cual obedece al cambio de la línea, el cambio de imagen y la parada de la producción. Lo anterior teniendo en cuenta que:
*El contrato de compra alcohol se encuentra ejecutado en un 22,5%, con la Industria de Licores del Valle, se ha realizado un ingreso de 700.436 litros de alcohol por valor de $2.102.678.866 de un total contratado de 3.322 millones durante los meses de abril a junio de 2019, el incremento se presenta porque se efectuó traslado de la venta de alcohol a clientes de la sede de Bogotá a Cota.
*Se realizó el ingreso de tafia por valor de $ 1.621.380.283 correspondiente a  183.801 litros de tafia de 4-5 años de abril a junio 30 de 2019, el proveedor de esta materia prima es Casa Santana y su ejecución alcanzo el 21.18% correspondiente al contrato de 5.101 millón y adición de 2.550 millones.
*La ejecución del contrato de suministro de etiquetas metalizadas suscrito con Cadena es del 2.97% ($30.701.000) sobre un total de contratación de 1.035  millones, el valor ejecutado es mínimo en razón que se suscribió un contrato nuevo el 25 de mayo por 891 millones por el cambio de tipo de etiqueta que paso de metalizada a etiqueta adhesiva por el cambio de los diseños de imagen de las presentaciones de 375,750 y rones.
*El contrato de suministro de envases Tetra Pack se ha ejecutado en un 0.9%, lo cual corresponde al ingreso de envase por valor de 94 millones, sobre un total contratado de suministro de envases tetra break  por 10.206 millones, se debe tener en cuenta que dicha contratación comprende contratos que traer continuidad desde el periodo 21 de abril de 2017,2018 y 2019 que se han realizado en razón al beneficio en el no incremento de los precios por parte del proveedor brasilero, de igual manera la menor ejecución se debe al cambio de los diseños de imagen de las presentaciones de diseño de néctar 250 y 1000.
*La ejecución del contrato del suministro de envase  de vidrio suscrito con Peldar fue de 2,35% correspondiente a los contratos totales por 18.207 millones,  dentro de este se suscribió el 06 de junio un nuevo contrato sobre el cual no ha habido ejecución toda vez que se encuentra en curso la terminación del os nuevos diseños de envase de la línea de rones y presentación néctar 750.
*La ejecución del contrato del proveedor de empaques Cartón Colombia, se ejecutó en el segundo trimestre en un 1,05%, equivalente a $15.384.912 de un total contratado de 1.453 millones, la disminución en la ejecución frente al trimestre anterior se presenta por el cambio de las líneas de producción, las cuales originan suspensión en la producción.
*La ejecución del contrato del proveedor de tapas y copas GUALA CLOUSURES, se ejecutó en el segundo trimestre en un 14,24%, equivalente a $478 millones  de un total contratado de 3.360 millones, la disminución en la ejecución frente al trimestre anterior obedece a  los cambios de las líneas de producción, las cuales originan suspensión en la producción.
</t>
  </si>
  <si>
    <r>
      <t xml:space="preserve">En el tercer trimestre del año 2019, el nivel de ejecución de los contratos de materias primas e insumos trazadores para la producción de la ELC, se encuentra desglosada así: 
*El contrato de </t>
    </r>
    <r>
      <rPr>
        <b/>
        <sz val="12"/>
        <rFont val="Arial"/>
        <family val="2"/>
      </rPr>
      <t>ALCOHOL</t>
    </r>
    <r>
      <rPr>
        <sz val="12"/>
        <rFont val="Arial"/>
        <family val="2"/>
      </rPr>
      <t xml:space="preserve"> suscrito con la Industria de Licores del Valle, presenta ejecución en un 31,85%, realizando el ingreso en el tercer trimestre de798,122 litros de alcohol por valor de $2.969.081.993 según sistema SAP (Iva incluido).
</t>
    </r>
  </si>
  <si>
    <r>
      <t>*Para el trimestre (julio a Septiembre de 2019) no se realizó ingreso de</t>
    </r>
    <r>
      <rPr>
        <b/>
        <sz val="12"/>
        <rFont val="Arial"/>
        <family val="2"/>
      </rPr>
      <t xml:space="preserve"> TAFIA</t>
    </r>
    <r>
      <rPr>
        <sz val="12"/>
        <rFont val="Arial"/>
        <family val="2"/>
      </rPr>
      <t xml:space="preserve"> por terminación del contrato; actualmente se encuentra registrado en SAP el contrato N° 5320190324 suscrito con CASA SANTANA por valor de $4.000.000.000;  aún no se ha iniciado su ejecución.
</t>
    </r>
  </si>
  <si>
    <r>
      <t xml:space="preserve">Durante el tercer trimestre de 2019, el contrato suscrito con CADENA para el suminsitro de </t>
    </r>
    <r>
      <rPr>
        <b/>
        <sz val="12"/>
        <rFont val="Arial"/>
        <family val="2"/>
      </rPr>
      <t xml:space="preserve">ETIQUETAS, </t>
    </r>
    <r>
      <rPr>
        <sz val="12"/>
        <rFont val="Arial"/>
        <family val="2"/>
      </rPr>
      <t xml:space="preserve"> se encuentra ejecutado en un 24,80%; es de anotar que la ejecución corresponde al contrato que fue suscrito el 24 de Mayo de 2019 del cual sus pedidos se iniciaron en el mes de Agosto de 2019, el contrato que se encuentra en ejecución es el 5320190286.</t>
    </r>
  </si>
  <si>
    <r>
      <t>Durante el tercer trimestre de 2019, el contrato suscrito con TETRA PAK para el suminsitro de ENVASE TETRABRIK</t>
    </r>
    <r>
      <rPr>
        <b/>
        <sz val="12"/>
        <rFont val="Arial"/>
        <family val="2"/>
      </rPr>
      <t xml:space="preserve">, </t>
    </r>
    <r>
      <rPr>
        <sz val="12"/>
        <rFont val="Arial"/>
        <family val="2"/>
      </rPr>
      <t xml:space="preserve"> se encuentra ejecutado en un 46,12%; es de anotar que la ejecución corresponde al contrato que fue suscrito el 29 de Mayo de 2019 del cual sus pedidos se iniciaron en el mes de Agosto de 2019, el contrato que se encuentra en ejecución es el 5320190290.</t>
    </r>
  </si>
  <si>
    <r>
      <t>El contrato suscrito con PELDAR para el suminsitro de ENVASE DE VIDRIO</t>
    </r>
    <r>
      <rPr>
        <b/>
        <sz val="12"/>
        <rFont val="Arial"/>
        <family val="2"/>
      </rPr>
      <t xml:space="preserve">, </t>
    </r>
    <r>
      <rPr>
        <sz val="12"/>
        <rFont val="Arial"/>
        <family val="2"/>
      </rPr>
      <t xml:space="preserve"> se encuentra ejecutado en un 41,99%, el contrato que se encuentra en ejecución es el 5320190299.</t>
    </r>
  </si>
  <si>
    <t>El contrato correspondiente al suministro de cajas para el empaque de los productos de la ELC, se encuentra en grado de ejecución para el tercer trimestre de la vigencia 2019 en un 17,57% . El contrato que se encuentra en ejecución es el 5320190080 y éste viene en ejecución desde Enero de 2019.</t>
  </si>
  <si>
    <t>El contrato suscrito con TAPAS DE LAS AMERICAS, para el suministro de tapas y copas, se encuentra ejecutado en un 55,35% para el tercer trimestre de la vigencia 2019.</t>
  </si>
  <si>
    <t>6.1.11.</t>
  </si>
  <si>
    <t>Variaciones de Inventarios.</t>
  </si>
  <si>
    <t>Determinar porcentualmente las variaciones entre las cantidades identificadas en fisico y las cantidades registradas en el sistema de información con el fin de minimizar las diferencias generadas.</t>
  </si>
  <si>
    <t>(Valor en pesos de la toma fisica del inventario de Insumos y material de empaque, alcohol y tafias / Valor en pesos del inventario en el Sistemas de Información SAP)*100</t>
  </si>
  <si>
    <t>Alcohol: Mensual.
Empaque -Tafia: Semestral</t>
  </si>
  <si>
    <t>La variación de la materia prima de alcohol corresponde a las mermas presentadas mensualmente. Los resultados se presentan teniendo en cuenta que se aplicó Resolución de Aprobación de Baja por Merma en el mes de diciembre de 2018, afectando únicamente las mermas hasta el mes de julio de 2018,  es decir, que las mermas que se reflejan en el primer trimestre de 2019 vienen acumuladas desde agosto de 2018.</t>
  </si>
  <si>
    <t xml:space="preserve">La merma acumulada es del 9% del saldo del alcohol al 30 de junio de 2019, esta corresponde a mermas acumuladas del périodo agosto 2018 a 30 de junio de 2019, toda vez que se encuentran en  procesos de autorizacion por el representante legal los actos administrativos presentados y aprobados por el comite de bajas de la ELC. </t>
  </si>
  <si>
    <t>Para el mes de Julio de 2019, el alcohol  presenta variación del 0,83%.</t>
  </si>
  <si>
    <t>Para el mes deAgosto de 2019, el alcohol  presenta variación del 1,08%.</t>
  </si>
  <si>
    <t>Se presenta variación en el valor del inventario físico Vs valor del sistema en un (-0,67%); a corte del presente informe, 08 de Octubre de 2019; sin cierre definitivo del mes de septiembre. Por lo anterior, la liquidación de procesos de costos puede afectar lala presente información.
En el mes de Septiembre de 2019 se registró la aplicación de la resolución N° 20191200001645 por concepto de mermas del 01 de Agosto de 2018 a Abril 30 de 2019.
Por otro lado, también se realizó aplicación de la Resolución N° 20191200000585 por concepto de autorización baja por merma de tafias.</t>
  </si>
  <si>
    <t>Historico</t>
  </si>
  <si>
    <t>Se visualiza una minima desviación del 0,67%, lo cual no es relevante frente a la meta establecida por la gestión administrativa de la entidad y se encuentra debidamente justificada.</t>
  </si>
  <si>
    <t>6.2.</t>
  </si>
  <si>
    <t>6.2.1.</t>
  </si>
  <si>
    <t>Nivel de Disposición final de serie documental.</t>
  </si>
  <si>
    <t>Medir porcentualmente el nùmero de folios por serie documental dispuestos, de acuerdo con el nùmero de folios de series documentales aprobados por comitè para disposiciòn final.</t>
  </si>
  <si>
    <t>Numero de folios dispuestos por serie documental / Nùmero total de folios a disponer por series aprobados por el comitè.</t>
  </si>
  <si>
    <t>Todas las Subgerencias y Oficinas.</t>
  </si>
  <si>
    <t>Anual.</t>
  </si>
  <si>
    <t>Medición Anual.</t>
  </si>
  <si>
    <t>Medición y análisis anual.</t>
  </si>
  <si>
    <t>6.2.2.</t>
  </si>
  <si>
    <t>Nivel de Transferencias Primarias.</t>
  </si>
  <si>
    <t>Medir porcentualmente las series transferidas por dependencia, de acuerdo con el total de archivos de gestiòn a transferir por dependencia.</t>
  </si>
  <si>
    <t>(Series Transferidas por Dependencia / Total de Series a Transferir por Dependencia ) * 100.</t>
  </si>
  <si>
    <t>PORCENTAJE - No SERIES TRANSFERIDAS.</t>
  </si>
  <si>
    <t>El presente indicador, comienza a regir a partir del 01 de Septiembre de 2019, la disposicion final se viene avanzando en un 21%, equivalente a 2.359 carpetas(471.800 folios). Teniendo en cuenta la linea base de 11.143 carpetas (2.228.600 folios)</t>
  </si>
  <si>
    <t>De acuerdo a los resultados obtenidos se visualiza que el indicador se encuentra desviado en 53,85 puntos basicos con respecto a la meta, es importante tener en cuenta que el control de cambios aplica a nivel de reporte, pero sin embargo en la medición de la gestión ya requiere mostrar avances en el 75% para el tercer corte de la vigencia.</t>
  </si>
  <si>
    <t>6.3.</t>
  </si>
  <si>
    <t>Servicios Administrativos.</t>
  </si>
  <si>
    <t>6.3.1.</t>
  </si>
  <si>
    <t>Índice de costos para la dependencia Administrativa.</t>
  </si>
  <si>
    <t>Determinar el grado de eficiencia con que se emplean los recursos(costos / gastos incurridos), en la Subgerencia Administrativa.</t>
  </si>
  <si>
    <t>Costos y/o gastos totales incurridos por la Subgerencia Administrativa  / Costos y/o gastos totales incurridos por la ELC.</t>
  </si>
  <si>
    <t>El 27,68% del total de los gastos incurridos por la Empresa de Licores de Cundinamarca en el mes de enero de 2019 corresponden a costos y gastos generados por parte de la Subgerencia Administrativa.</t>
  </si>
  <si>
    <t>El 14,31% del total de los gastos incurridos por la Empresa de Licores de Cundinamarca en el mes de febrero de 2019 corresponden a costos y gastos generados por parte de la Subgerencia Administrativa.</t>
  </si>
  <si>
    <t>El 12,45% del total de los gastos incurridos por la Empresa de Licores de Cundinamarca en el mes de marzo de 2019 corresponden a costos y gastos generados por parte de la Subgerencia Administrativa.</t>
  </si>
  <si>
    <t xml:space="preserve">Para abril del 2019, la participacion del gasto de la Subgerencia Administrativa  fue del 34% respecto al total de los gastos de la ELC </t>
  </si>
  <si>
    <t>Para el periodo de Mayo de 2019, la participacion en gasto de la Subgerencia Administrativa fue del 43% respecto al total de los gastos de la ELC</t>
  </si>
  <si>
    <t>Para el periodo de Junio de 2019, la participacion en gasto de la Subgerencia Administrativa fue del 16% respecto al total de los gastos de la ELC</t>
  </si>
  <si>
    <t>Para el periodo de Julio de 2019, la participacion en gasto de la Subgerencia Administrativa fue del 18% respecto al total de los gastos de la ELC</t>
  </si>
  <si>
    <t>Para el periodo de Agosto de 2019, la participacion en gasto de la Subgerencia Administrativa fue del 13% respecto al total de los gastos de la ELC</t>
  </si>
  <si>
    <t>Para el periodo de Septiembre de 2019, la participacion en gasto de la Subgerencia Administrativa fue del 16% respecto al total de los gastos de la ELC</t>
  </si>
  <si>
    <t>Disminucion en un 5% anual</t>
  </si>
  <si>
    <t>6.3.2.</t>
  </si>
  <si>
    <t>Variación de Consumo de Combustible.</t>
  </si>
  <si>
    <t>Medir la variación del consumo total del combustible mes actual, conforme al consumo total mensual del año anterior.</t>
  </si>
  <si>
    <t>((Consumo de combustible mes vigencia actual / Consumo de combustible mes vigencia anterior) - 1)</t>
  </si>
  <si>
    <t>Porcentaje - Consumo Galones.</t>
  </si>
  <si>
    <t>Frente al mismo periodo del año anterior se refleja un aumento en el consumo del  33%, debido a las actividades de traslado de tafia desde Choconta hacia Cota.</t>
  </si>
  <si>
    <t>Frente al mismo periodo del año anterior se refleja una disminución en el consumo del  5%.</t>
  </si>
  <si>
    <t>Frente al mismo periodo del año anterior se refleja disminucion consumo del  34%.</t>
  </si>
  <si>
    <t>Frente al mismo periodo del año anterior se refleja disminucion consumo del  73%.</t>
  </si>
  <si>
    <t>Frente al mismo periodo del año anterior se refleja disminucion consumo del  59%.</t>
  </si>
  <si>
    <t>Frente al mismo periodo del año anterior se refleja disminución consumo del  47%.</t>
  </si>
  <si>
    <t>Frente al mismo periodo del año anterior se refleja disminucion consumo del  40%.</t>
  </si>
  <si>
    <t>Frente al mismo periodo del año anterior se refleja disminucion consumo del  27%.</t>
  </si>
  <si>
    <t>Frente al mismo periodo del año anterior se refleja disminucion consumo del  16%.</t>
  </si>
  <si>
    <t>Disminucion en un 10% anual</t>
  </si>
  <si>
    <t>6.3.3.</t>
  </si>
  <si>
    <t>Nivel de Mantenimientos Locativos Atendidos.</t>
  </si>
  <si>
    <t>Medir porcentualmente los mantenimientos locativos atendidos, conforme a los mantenimientos locativos solicitados.</t>
  </si>
  <si>
    <t>(Mantenimientos Locativos Atendidos / Mantenimientos Locativos Solicitados)*100.</t>
  </si>
  <si>
    <t>Porcentaje- Mantenimientos Atendidos.</t>
  </si>
  <si>
    <t>Para el periodo de enero 2019, se atendieron el 100% de los mantenimientos locativos a demanda.</t>
  </si>
  <si>
    <t>Para el periodo de febrero 2019, se atendieron el 100% de los mantenimientos locativos a demanda.</t>
  </si>
  <si>
    <t>Para el periodo de marzo 2019, se atendieron el 100% de los mantenimientos locativos a demanda.</t>
  </si>
  <si>
    <t>Para el periodo de abril 2019, se atendieron el 100% de los mantenimientos locativos a demanda.</t>
  </si>
  <si>
    <t>Para el periodo de mayo 2019, se atendieron el 100% de los mantenimientos locativos a demanda.</t>
  </si>
  <si>
    <t>Para el periodo de junio 2019, se atendieron el 100% de los mantenimientos locativos a demanda.</t>
  </si>
  <si>
    <t>Para el periodo de julio 2019, se atendieron el 100% de los mantenimientos locativos a demanda.</t>
  </si>
  <si>
    <t>Para el periodo de agosto 2019, se atendieron el 100% de los mantenimientos locativos a demanda.</t>
  </si>
  <si>
    <t>Para el periodo de septiembre 2019, se atendieron el 100% de los mantenimientos locativos a demanda.</t>
  </si>
  <si>
    <t>7.</t>
  </si>
  <si>
    <t>GESTIÓN DE TALENTO HUMANO.</t>
  </si>
  <si>
    <t>7.1.</t>
  </si>
  <si>
    <t>Administración del Talento Humano.</t>
  </si>
  <si>
    <t>7.1.1.</t>
  </si>
  <si>
    <t>Índice de costos para la Gestión de Talento Humano.</t>
  </si>
  <si>
    <t xml:space="preserve">Determinar el grado de eficiencia con que se emplean los recursos(costos / gastos incurridos), en la Subgerencia de Talento Humano. </t>
  </si>
  <si>
    <t>Costos y/o gastos totales incurridos por la Subgerencia de Talento Humano  / Costos y/o gastos totales incurridos por la ELC.</t>
  </si>
  <si>
    <t>Subgerencia de Talento Humano.</t>
  </si>
  <si>
    <t>El 5,34% del total de los gastos incurridos por la Empresa de Licores de Cundinamarca en el mes de enero de 2019 corresponden a costos y gastos generados por parte de la Subgerencia de Talento Humano.</t>
  </si>
  <si>
    <t>El 9,63% del total de los gastos incurridos por la Empresa de Licores de Cundinamarca en el mes de febrero de 2019 corresponden a costos y gastos generados por parte de la Subgerencia de Talento Humano.</t>
  </si>
  <si>
    <t>El 9,91% del total de los gastos incurridos por la Empresa de Licores de Cundinamarca en el mes de marzo de 2019 corresponden a costos y gastos generados por parte de la Subgerencia de Talento Humano.</t>
  </si>
  <si>
    <t xml:space="preserve">Para abril del 2019, la participacion del gasto de la sub-gerencia de Talento Humano fue de 7,03% respecto al total de los gastos de la ELC </t>
  </si>
  <si>
    <t>Para el periodo de Mayo de 2019, la participacion en gasto de la Subgerencia de Talento Humano fue del 7,93% respecto al total de los gastos de la ELC</t>
  </si>
  <si>
    <t>Para el periodo de Junio de 2019, la participacion en gasto de la Subgerencia de Talento Humano fue del 7,07% respecto al total de los gastos de la ELC</t>
  </si>
  <si>
    <t>Para el periodo de Julio de 2019, la participacion en gasto de la Subgerencia de Talento Humano fue del 7,16% respecto al total de los gastos de la ELC</t>
  </si>
  <si>
    <t>Para el periodo de Agosto de 2019, la participacion en gasto de la Subgerencia de Talento Humano fue del 9,40% respecto al total de los gastos de la ELC</t>
  </si>
  <si>
    <t>Para el periodo de Septiembre de 2019, la participacion en gasto de la Subgerencia de Talento Humano fue del 4,98% respecto al total de los gastos de la ELC</t>
  </si>
  <si>
    <t>7.1.2.</t>
  </si>
  <si>
    <t xml:space="preserve">Plan de capacitación. </t>
  </si>
  <si>
    <t>Medir las actividades de capacitación institucional programadas y ejecutadas en la vigencia, de acuerdo a las necesidades reportadas por cada una de las gestiones de la Empresa de Licores de Cundinamarca.</t>
  </si>
  <si>
    <t>Actividades de Capacitación Institucional ejecutadas en la vigencia  / Actividades de Capacitación Programadas en la vigencia.</t>
  </si>
  <si>
    <t>Porcentaje Acumulativo para la vigencia.</t>
  </si>
  <si>
    <t>El plan de capacitacion vigencia 2019, fue formulado con el respectivo diagnostico de necesidades que se realiza con la participacion de todo el personal y fue aprobado el 14 de enero del 2019 mediante resolucion numero 20191300000045.</t>
  </si>
  <si>
    <t>Se aprobo  con un cronograma  de 16 capacitaciones, las cuales pueden ser modificacdas de acuerdo con las necesidades del servicio.</t>
  </si>
  <si>
    <t>** El dia 27 de marzo se realiza capacitacion en actualizacion tributaria y medios magneticos, se beneficiaron de esta 21 funcionarios.
** Coaching para directivos se realiza los dias 29 y 30 de marzo beneficiarios 10</t>
  </si>
  <si>
    <t>Sin novedad</t>
  </si>
  <si>
    <t>**Capacitacion en Gestion integral de residuos ejecutada 23 y 24 de mayo.
** capacitacion en manejo seguro de montacargas 13 y 25 de mayo 
** 27 y 28 de mayo, se envia a un servidor publico a  la conferencia realizada por el expresidente de los Estados Unidos  Sr. Barack Obama,
** Capacitacion en conceptos basicos en metrologia quimica el dia 06 de mayo.</t>
  </si>
  <si>
    <t>A raiz de las actividades adelantadas hasta la fecha incluidos los diagnosticos de necesidades, la formulacion, evaluacion y aprobacion del plan de capacitacion, tenemos resultados satisfactorios y acordes al tiempo estipulado en el cronograma establecido.</t>
  </si>
  <si>
    <t>** Se realiza y se culmina la primera jornada de capacitacion en BPM especificamente de ron y aguanrdiente, que se impartio los dias 06 y 07 de junio
** Culminamos el proceso de capacitacion en pruebas sensoriales.</t>
  </si>
  <si>
    <t>** Se brinda capacitacion de trbajo seguro en alturos, tanto el curso basico, como el de coordinador.
** Capacitacion en seguridad informatica</t>
  </si>
  <si>
    <t>** capacitacion en  Norma NTC-ISO/IEC 17025.
** Se esta cumpliendo de forma adecuada el cronograma de capacitaciones aprobado para la vigencia 2019.</t>
  </si>
  <si>
    <r>
      <t xml:space="preserve">De acuerdo con los resultados reportados se evidencia </t>
    </r>
    <r>
      <rPr>
        <sz val="12"/>
        <color rgb="FF00B050"/>
        <rFont val="Arial"/>
        <family val="2"/>
      </rPr>
      <t>gestión favorable.</t>
    </r>
  </si>
  <si>
    <t>7.1.3.</t>
  </si>
  <si>
    <t>Índice de Cumplimiento del Programa de Bienestar Social.</t>
  </si>
  <si>
    <t>Medir las actividades de bienestar social programadas y ejecutadas en el periodo, manifestando a los funcionarios el aprecio y valor que tiene para la Empresa de Licores de Cundinamarca la gestión ejecutada por cada uno de los colaboradores de la entidad.</t>
  </si>
  <si>
    <t>Actividades de Bienestar Social Ejecutadas en la vigencia / Actividades de Bienestar Social Programadas en la vigencia.</t>
  </si>
  <si>
    <t>El plan de de bienestar, estimulos e incentivos vigencia 2019, fue formulado con el respectivo diagnostico de necesidades que se realiza con la participacion de todo el personal y fue aprobado el 14 de enero del 2019 mediante resolucion numero 20191300000045.</t>
  </si>
  <si>
    <t>Se aprobo  con un cronograma con 27 actividadeds divididas en dos tematicas, las cuales pueden ser modificacdas de acuerdo con las necesidades del servicio. (Calidad de Vida Laboral y  Area recreativa, deportiva y cultural)
Se encuentra vigente el programa de acondicionamiento fisico, el cual busca promover la cultura del deporte.</t>
  </si>
  <si>
    <t xml:space="preserve">El ocho de marzo se realizo la celebracion del dia internacional de la mujer, este se llevo a cabo en el hotel GHL en donde se adelanto una jornada con musica en vivo, alimentacion y otras actividades en beneficio del personal femenino de la empresa.
70 mujeres invitadas. </t>
  </si>
  <si>
    <t>**Entrega de pasaportes a psicilago como reconocimiento a excelente desempeño en la jornada de interiorizacion del plan estrategico.</t>
  </si>
  <si>
    <t>** Celebracion del dia de la secretaria ejecutado 09 de mayo.
** entrega de 3 boletas de entrada y combo cine a los funcionarios.
** Entrega de reconocimiento vaso pitillo a los funcionarios por cumpleaños.
** Conmemoracion dia del padre y de la madre.</t>
  </si>
  <si>
    <t>** Celebracion del dia del servidor publico.
** Recocimiento por obtencion de certificacion de BPM en ron.
Podemos concluir que tenemos resultados acordes con el tiempo transcurrido en la vigencia.</t>
  </si>
  <si>
    <t>** Se realiza programa de vacaciones recreativas para benficio de los hijos de los colaboradores de la empresa
** Entrega de retroalimentacion del estudio de clima laboral y riesgo psicosocial.
** Se da inicio a las olimpiadas recreodeportivas de la empresa</t>
  </si>
  <si>
    <t xml:space="preserve">** Realizamos programa prepencionados.
** programa de integracion de la Familia Licorera 09 de agosto en el parque tematico Makute
</t>
  </si>
  <si>
    <t xml:space="preserve">
** Se debe tener en cuenta que dentro del cornograma establecido para el programa de binestar social e incentivas, tambien se encuentran protectos como, la entrega de chaquetas a los servidores publicos, acciones tendientes a brindar condolencias a los empleados, con motivo de fallecimiento de algun familiar y  Eventos recreodeportivos internos y externos.</t>
  </si>
  <si>
    <t>&gt; 90%</t>
  </si>
  <si>
    <t>7.1.4.</t>
  </si>
  <si>
    <t>Novedades de Nomina.</t>
  </si>
  <si>
    <t>Medir la efectividad en el proceso de liquidación de novedades de nomina en el periodo.</t>
  </si>
  <si>
    <t>No. de reclamaciones en el periodo/ No. de novedades en el periodo.</t>
  </si>
  <si>
    <t>Procentaje.</t>
  </si>
  <si>
    <t>Se realiza el reproceso de 2 novedades de nomina.</t>
  </si>
  <si>
    <t>Se reliza la liquidacion de novedades de nomina a conformidad de todo el personal.</t>
  </si>
  <si>
    <t>Se reciben y liquidan 823 novedades de nomina, ninguna ha sido causal de reliquidacion.</t>
  </si>
  <si>
    <t>Se reciben y liquidan 520 novedades de nomina, ninguna ha sido causal de reliquidacion.</t>
  </si>
  <si>
    <t>Se reciben y liquidan 580 novedades de nomina, ninguna ha sido causal de reliquidacion.
Un total de 1923 novedades de nomina liquidadas a conformidad durante el segundo trimestre de la presente vigencia
Lo anterior quiere decir que el area de nomina se ha fortalecido y la revision realizada por dicho equipo ha sido satisfactoria</t>
  </si>
  <si>
    <t>Se reciben y liquidan 519 novedades de nomina, ninguna ha sido causal de reliquidacion.</t>
  </si>
  <si>
    <t>Se reciben y liquidan 600 novedades de nomina, ninguna ha sido causal de reliquidacion.</t>
  </si>
  <si>
    <t>N.A.</t>
  </si>
  <si>
    <t>&lt; = 5%</t>
  </si>
  <si>
    <t>7.1.7.</t>
  </si>
  <si>
    <t>Indice de no permanencia.</t>
  </si>
  <si>
    <t>Conocer el debido cumplimiento en lo que refiere al horario de trabajo establecido por el reglamento interno de la Empresa de Licores de Cundinamarca.</t>
  </si>
  <si>
    <t>Número de horas totales / Número de horas laborales en el periodo.</t>
  </si>
  <si>
    <t>No ha sido necesaria la remision de casos especiales a la oficina de control interno disciplinario.</t>
  </si>
  <si>
    <t>No ha sido necesaria la remision de casos especiales a la oficina de control interno disciplinario</t>
  </si>
  <si>
    <t>&lt; = 10%</t>
  </si>
  <si>
    <r>
      <t xml:space="preserve">De conformidad con los resultados reportados se visualiza desviación  del indicador Indice de no permanencia, por tanto se requiere generar la pertinente </t>
    </r>
    <r>
      <rPr>
        <sz val="12"/>
        <color rgb="FFFF0000"/>
        <rFont val="Arial"/>
        <family val="2"/>
      </rPr>
      <t>acción correctiva</t>
    </r>
    <r>
      <rPr>
        <sz val="12"/>
        <color theme="1"/>
        <rFont val="Arial"/>
        <family val="2"/>
      </rPr>
      <t>, lo anterior con el objetivo de obtener el mejoramiento continuo esperado.</t>
    </r>
  </si>
  <si>
    <t xml:space="preserve">Programa de salud ocupacional. </t>
  </si>
  <si>
    <t>7.2.2.</t>
  </si>
  <si>
    <t>Índice de Frecuencia de Accidentes.</t>
  </si>
  <si>
    <t>Medir y controlar la frecuencia de accidentalidad laboral en la Empresa de Licores de Cundinamarca, y de está forma minimixar los riesgos a los cuales se encuentran expuestos los funcionarios de la entidad.</t>
  </si>
  <si>
    <t>Número de Accidentes en un Período * K / Total Horas Hombre Trabajadas. Donde K = 100 * 40 * 50 Constante Según Jornada de Trabajo.</t>
  </si>
  <si>
    <t>I.F.</t>
  </si>
  <si>
    <t>En este periodo no se ocasionaron accidentes de índole laboral.</t>
  </si>
  <si>
    <t>Durante el primer trimestre de la vigencia 2019 no se han presentado accidentes laborales, lo que demuestra la buena gestion que se viene realizando frente a la prevencion y uso de EPPs.</t>
  </si>
  <si>
    <t>En este periodo no se ocacionaron accidentes de indole laboral</t>
  </si>
  <si>
    <t>Durante el primer semestre de la vigencia 2019 no se han presentado accidentes laborales, lo que demuestra la buena gestion que se viene realizando frente a la prevencion y uso de EPPs.</t>
  </si>
  <si>
    <t>No se han presentado accidentes laborales durante este periodo</t>
  </si>
  <si>
    <t>Se presentaron dos accidentes laborales debido a la participacion del personal en los juegos internos</t>
  </si>
  <si>
    <t>Se presento un accidente de indole laboral, ebidoa la participacion en los juegos internos</t>
  </si>
  <si>
    <t>7.86</t>
  </si>
  <si>
    <t>&lt; = 7.86</t>
  </si>
  <si>
    <t>7.2.3.</t>
  </si>
  <si>
    <t>Índice de Cumplimiento del Programa de Seguridad y Salud en el trabajo.</t>
  </si>
  <si>
    <t>Prevenir  accidentes laborales y mantener las condiciones sanas y seguras de los funcionarios de la Empresa de Licores de Cundinamarca, en el desarrollo de sus actividades cotidianas.</t>
  </si>
  <si>
    <t>Actividades Ejecutadas / Actividades Programadas * 100.</t>
  </si>
  <si>
    <t>Se realiza la formulacion del programa de seguridad y salud en el trabajo.
Se realizan procesos de gestion contracctual para brindar y cubrir las necesidades de seguridad de la empresa ( Bomberos, area protegida emermedica).</t>
  </si>
  <si>
    <t>Se supervisan las actividades correspondientes a cada contrato.
* Se realizan inspecciones locativas 
* Entrega EPP se realiza  por medio de una màquina dispensadora  instalada al ingreso de las àreas operativas.
* Inspecciones:
• Extintores: Se realizan las inspecciones cada 15 dias.
• Botiquines: Se realizan las inspecciones cada 15 dias.
• Camillas: Se realizan las inspecciones cada 15 dias. 
al dia. Queda evidencia en informe mensual de este periodo.</t>
  </si>
  <si>
    <t>se ejecutan 10 de las 11 actividades programadas 91% de cumplimiento ara este mes</t>
  </si>
  <si>
    <t>se ejecutan 13 de las 14 actividades programadas 93% de cumplimiento para este mes.</t>
  </si>
  <si>
    <t>Se ejecutan 13 de las 14 actividades programadas
92 % de Cumplimiento para este mes
Porcentaje acumulado de cumplimiento en el año = 31% ya que se han ejecutado 69 de las 220 actividades progrmadas.</t>
  </si>
  <si>
    <t xml:space="preserve">Se ejecutan 17 de las 20 actividades programadas para un cumplimiento mensual del 85%
</t>
  </si>
  <si>
    <t>Se ejecutan 20 de las  21 actividades programaadas, para un rendimiento del 95%</t>
  </si>
  <si>
    <t>Se cumple con la totalidad de las actividades programadas, 19 de 19 arrojando un indicador mensual del 100%
Indicador enual del 60% acumulado</t>
  </si>
  <si>
    <r>
      <t xml:space="preserve">De acuerdo con los resultados reportados se evidencia </t>
    </r>
    <r>
      <rPr>
        <sz val="12"/>
        <color rgb="FF00B050"/>
        <rFont val="Arial"/>
        <family val="2"/>
      </rPr>
      <t>gestión favorable, es importante tener en cuenta que ha simple vista se visualiza desviación del indicador, pero de conformidad con ejecución del programa de SST, se logra la meta hacia el segundo semestre de la vigencia.</t>
    </r>
  </si>
  <si>
    <t>7.2.4.</t>
  </si>
  <si>
    <t>Plan intervención clima laboral.</t>
  </si>
  <si>
    <t>Provocar un impacto positivo en el clima laboral de la Empresa Licores de Cundinamarca, con el fin de incrementar la productividad y trabajo en equipo de los funcionarios de la entidad.</t>
  </si>
  <si>
    <t>Este programa ha pospuesto su ejecucion hasta que se culmine el proceso de reorganizacion administrativa que esta cursando la empresa.</t>
  </si>
  <si>
    <t>1, Se realizó el contrato No  5320190230 para la realización de la batería de riesgo Psicosocial y Clima Organizaciónal y se realizó la evaluación, estamos en espera de la entrega de resultados para poder contratar la intervención</t>
  </si>
  <si>
    <t>Se realiza la fase inicial que corresponde a la aplicación de evaluaciones ( Bateria de riesgo psicosocial y clima organizacional)</t>
  </si>
  <si>
    <t>La firma consultora reealiza la tabulacion y analisis de cada una de las encuestas de riesgo psicosocial aplicadas en la empresa</t>
  </si>
  <si>
    <t>Dicha firma realiza una retroalimentacion en cada una de las areas. Por medio de esta, se dieron a conocer los resultados de la bateria de riesgo psicosocial en cuanto a clima laboral y percepocion que tiene los empleados hacia los directivos y la empresa en general.</t>
  </si>
  <si>
    <t>Esta actividad se da por culminada hasyta esta fase, dejando pospuesta la intervencion para la proxima vigencia.</t>
  </si>
  <si>
    <t>GESTION JURÍDICA.</t>
  </si>
  <si>
    <t>Asesoría Jurídica.</t>
  </si>
  <si>
    <t>8.1.1.</t>
  </si>
  <si>
    <t>Índice de costos para la Gestión de la Oficina Asesora Jurídica.</t>
  </si>
  <si>
    <t xml:space="preserve">Determinar el grado de eficiencia con que se emplean los recursos(costos / gastos incurridos), en la Oficina Asesora Jurídica. </t>
  </si>
  <si>
    <t>Costos y/o gastos totales incurridos por la Oficina Asesora Jurídica  / Costos y/o gastos totales incurridos por la ELC.</t>
  </si>
  <si>
    <t>Oficina Asesora Jurídica.</t>
  </si>
  <si>
    <t>El 2,16% del total de los gastos incurridos por la Empresa de Licores de Cundinamarca en el mes de enero de 2019 corresponden a costos y gastos generados por parte de la Oficina de Gestión Jurídica</t>
  </si>
  <si>
    <t>El 3,92% del total de los gastos incurridos por la Empresa de Licores de Cundinamarca en el mes de febrero de 2019 corresponden a costos y gastos generados por parte de la Oficina de Gestión Jurídica</t>
  </si>
  <si>
    <t>El 4,88% del total de los gastos incurridos por la Empresa de Licores de Cundinamarca en el mes de marzo de 2019 corresponden a costos y gastos generados por parte de la Oficina de Gestión Jurídica</t>
  </si>
  <si>
    <t xml:space="preserve">Para abril del 2019, la participacion del gasto de la Oficina de Gestión Jurídica fue de 4,01% respecto al total de los gastos de la ELC </t>
  </si>
  <si>
    <t>Para el periodo de Mayo de 2019, la participacion en gasto de la Oficina de Gestión Jurídica fue de 3,62% respecto al total de los gastos de la ELC</t>
  </si>
  <si>
    <t>Para el periodo de Junio de 2019, la participacion en gasto de la Oficina de Gestión Jurídica fue de 3,40% respecto al total de los gastos de la ELC</t>
  </si>
  <si>
    <t>Para el periodo de Julio de 2019, la participacion en gasto de la Oficina de Gestión Jurídica fue de 4,44% respecto al total de los gastos de la ELC</t>
  </si>
  <si>
    <t>Para el periodo de Agosto de 2019, la participacion en gasto de la Oficina de Gestión Jurídica fue de 3,74% respecto al total de los gastos de la ELC</t>
  </si>
  <si>
    <t>Para el periodo de Septiembre de 2019, la participacion en gasto de la Oficina de Gestión Jurídica fue de 2,16% respecto al total de los gastos de la ELC</t>
  </si>
  <si>
    <t>8.1.2.</t>
  </si>
  <si>
    <t>Asesorías Jurídicas.</t>
  </si>
  <si>
    <t>Medir porcentualmente el nivel de cumplimiento de solicitudes de asesoría jurídica atendidas con respecto a las solicitudes recibidas.</t>
  </si>
  <si>
    <t>((Número de solicitudes de control de legalidad y asesoria juridica solicitadas por otras dependencias/Número de solicitudes de control de legalidad y asesoria juridica solicitadas atendidas)*100).</t>
  </si>
  <si>
    <t>Bimestral.</t>
  </si>
  <si>
    <t>La oficina Asesora Jurídica realiza seguimiento a las solicitudes de asesoría jurídica y la oportunidad en su respuesta a través de una base de datos donde se registra la fecha de ingreso de la solicitud de asesoría o control de legalidad; De igual manera para brindar respuestas oportunas y con calidad realizamos una revisión periódica de la normatividad expedida a nivel nacional y  departamental. Durante el mes de enero de 2019 se dio trámite a nueve (9) solicitudes de control de legalidad.</t>
  </si>
  <si>
    <t>La oficina Asesora Jurídica realiza seguimiento a las solicitudes de asesoría jurídica y la oportunidad en su respuesta a través de una base de datos donde se registra la fecha de ingreso de la solicitud de asesoría o control de legalidad; De igual manera para brindar respuestas oportunas y con calidad realizamos una revisión periódica de la normatividad expedida a nivel nacional y  departamental. Durante el mes de febrero de 2019 se dio trámite a dieciocho (18) solicitudes de control de legalidad.</t>
  </si>
  <si>
    <t>La oficina Asesora Jurídica realiza seguimiento a las solicitudes de asesoría jurídica y la oportunidad en su respuesta a través de una base de datos donde se registra la fecha de ingreso de la solicitud de asesoría o control de legalidad; De igual manera para brindar respuestas oportunas y con calidad realizamos una revisión periódica de la normatividad expedida a nivel nacional y  departamental. Durante el mes de marzo de 2019 se dio trámite a treinta y tres (33) solicitudes de control de legalidad.</t>
  </si>
  <si>
    <t>La oficina Asesora Jurídica realiza seguimiento a las solicitudes de asesoría jurídica y la oportunidad en su respuesta a través de una base de datos donde se registra la fecha de ingreso de la solicitud de asesoría o control de legalidad; De igual manera para brindar respuestas oportunas y con calidad realizamos una revisión periódica de la normatividad expedida a nivel nacional y  departamental. Durante el mes de abril de 2019 se dio trámite a veintidós (22) solicitudes de control de legalidad.</t>
  </si>
  <si>
    <t>La oficina Asesora Jurídica realiza seguimiento a las solicitudes de asesoría jurídica y la oportunidad en su respuesta a través de una base de datos donde se registra la fecha de ingreso de la solicitud de asesoría o control de legalidad; De igual manera para brindar respuestas oportunas y con calidad realizamos una revisión periódica de la normatividad expedida a nivel nacional y  departamental. Durante el mes de mayo de 2019 se dio trámite a catorce (14) solicitudes de control de legalidad.</t>
  </si>
  <si>
    <t>La oficina Asesora Jurídica realiza seguimiento a las solicitudes de asesoría jurídica y la oportunidad en su respuesta a través de una base de datos donde se registra la fecha de ingreso de la solicitud de asesoría o control de legalidad; De igual manera para brindar respuestas oportunas y con calidad realizamos una revisión periódica de la normatividad expedida a nivel nacional y  departamental. Durante el mes de junio de 2019 se dio trámite a veintitrés (23) solicitudes de control de legalidad.</t>
  </si>
  <si>
    <t>La oficina Asesora Jurídica realiza seguimiento a las solicitudes de asesoría jurídica y la oportunidad en su respuesta a través de una base de datos donde se registra la fecha de ingreso de la solicitud de asesoría o control de legalidad; De igual manera para brindar respuestas oportunas y con calidad realizamos una revisión periódica de la normatividad expedida a nivel nacional y  departamental. Durante el mes de julio de 2019 se dio trámite a tres (3) solicitudes de control de legalidad.</t>
  </si>
  <si>
    <t>La oficina Asesora Jurídica realiza seguimiento a las solicitudes de asesoría jurídica y la oportunidad en su respuesta a través de una base de datos donde se registra la fecha de ingreso de la solicitud de asesoría o control de legalidad; De igual manera para brindar respuestas oportunas y con calidad realizamos una revisión periódica de la normatividad expedida a nivel nacional y  departamental. Durante el mes de agosto de 2019 se dio trámite a trece (13) solicitudes de control de legalidad.</t>
  </si>
  <si>
    <t>La oficina Asesora Jurídica realiza seguimiento a las solicitudes de asesoría jurídica y la oportunidad en su respuesta a través de una base de datos donde se registra la fecha de ingreso de la solicitud de asesoría o control de legalidad; De igual manera para brindar respuestas oportunas y con calidad realizamos una revisión periódica de la normatividad expedida a nivel nacional y  departamental. Durante el mes de septiembre de 2019 se dio trámite a siete (7) solicitudes de control de legalidad.</t>
  </si>
  <si>
    <r>
      <t xml:space="preserve">De acuerdo con los resultados obtenidos se logra visualizar </t>
    </r>
    <r>
      <rPr>
        <sz val="12"/>
        <color rgb="FF00B050"/>
        <rFont val="Arial"/>
        <family val="2"/>
      </rPr>
      <t>gestión favorable</t>
    </r>
    <r>
      <rPr>
        <sz val="12"/>
        <color rgb="FF000000"/>
        <rFont val="Arial"/>
        <family val="2"/>
      </rPr>
      <t xml:space="preserve"> en lo que respecta al indicador Asesorías Jurídicas.</t>
    </r>
  </si>
  <si>
    <t>8.2.</t>
  </si>
  <si>
    <t>Defensa Jurídica.</t>
  </si>
  <si>
    <t>8.2.1.</t>
  </si>
  <si>
    <t>Representación Jurídica.</t>
  </si>
  <si>
    <t>Medir porcentualmente el nivel de Cumplimiento de las acciones ejecutadas para proteger los intereses de la ELC conforme a lo establece la normatividad.</t>
  </si>
  <si>
    <t>(# de procesos a favor/ # Total de procesos)</t>
  </si>
  <si>
    <t>La Oficina Asesora Jurídica realiza un control mensual de procesos a través de la página de la Rama Judicial, Constatando con la información suministrada por los asesores externos y la empresa de Vigilancia Judicial; todo lo anterior, con el fin de hacer seguimiento a las actuaciones que se realizan en los procesos judiciales. Para el mes de enero de 2019, contamos con un (1) proceso ante la SIC en contra de DIAEGO Colombia S.A, setenta y dos (72) procesos penales y veintisiete (27) procesos judiciales de los cuales quince (15) es demandante la empresa.</t>
  </si>
  <si>
    <t>La Oficina Asesora Jurídica realiza un control mensual de procesos a través de la página de la Rama Judicial, Constatando con la información suministrada por los asesores externos y la empresa de Vigilancia Judicial; todo lo anterior, con el fin de hacer seguimiento a las actuaciones que se realizan en los procesos judiciales. Para el mes de febrero de 2019, contamos con un (1) proceso ante la SIC en contra de DIAEGO Colombia S.A, setenta y dos (72) procesos penales y veintisiete (27) procesos judiciales de los cuales quince (15) es demandante la empresa.</t>
  </si>
  <si>
    <t>La Oficina Asesora Jurídica realiza un control mensual de procesos a través de la página de la Rama Judicial, Constatando con la información suministrada por los asesores externos y la empresa de Vigilancia Judicial; todo lo anterior, con el fin de hacer seguimiento a las actuaciones que se realizan en los procesos judiciales. Para el mes de marzo de 2019, contamos con un (1) proceso ante la SIC en contra de DIAEGO Colombia S.A, setenta y dos (72) procesos penales y veintisiete (27) procesos judiciales de los cuales quince (15) es demandante la empresa.</t>
  </si>
  <si>
    <t>La Oficina Asesora Jurídica realiza un control mensual de procesos a través de la página de la Rama Judicial, Constatando con la información suministrada por los asesores externos y la empresa de Vigilancia Judicial; todo lo anterior, con el fin de hacer seguimiento a las actuaciones que se realizan en los procesos judiciales. Contamos con un (1) proceso ante la SIC en contra de DIAEGO Colombia S.A, setenta y dos (72) procesos penales y veintisiete (27) procesos judiciales de los cuales quince (15) es demandante la empresa. Para el mes de abril de 2019, ninguno ha presentado fallo.</t>
  </si>
  <si>
    <t>La Oficina Asesora Jurídica realiza un control mensual de procesos a través de la página de la Rama Judicial, Constatando con la información suministrada por los asesores externos y la empresa de Vigilancia Judicial; todo lo anterior, con el fin de hacer seguimiento a las actuaciones que se realizan en los procesos judiciales. Contamos con un (1) proceso ante la SIC en contra de DIAEGO Colombia S.A, setenta y dos (72) procesos penales y veintisiete (27) procesos judiciales de los cuales quince (15) es demandante la empresa. Para el mes de mayo de 2019, ninguno ha presentado fallo.</t>
  </si>
  <si>
    <t>La Oficina Asesora Jurídica realiza un control mensual de procesos a través de la página de la Rama Judicial, Constatando con la información suministrada por los asesores externos y la empresa de Vigilancia Judicial; todo lo anterior, con el fin de hacer seguimiento a las actuaciones que se realizan en los procesos judiciales. Contamos con un (1) proceso ante la SIC en contra de DIAEGO Colombia S.A, setenta y dos (72) procesos penales y veintisiete (27) procesos judiciales de los cuales quince (15) es demandante la empresa. Para el mes de junio de 2019, ninguno ha presentado fallo.</t>
  </si>
  <si>
    <t>La Oficina Asesora Jurídica realiza un control mensual de procesos a través de la página de la Rama Judicial, Constatando con la información suministrada por los asesores externos y la empresa de Vigilancia Judicial; todo lo anterior, con el fin de hacer seguimiento a las actuaciones que se realizan en los procesos judiciales. Contamos con un (1) proceso ante la SIC en contra de DIAEGO Colombia S.A, setenta y dos (72) procesos penales y veintitrés (23) procesos judiciales de los cuales doce (12) es demandante la empresa. Para el mes de julio de 2019, ninguno ha presentado fallo.</t>
  </si>
  <si>
    <t>La Oficina Asesora Jurídica realiza un control mensual de procesos a través de la página de la Rama Judicial, Constatando con la información suministrada por los asesores externos y la empresa de Vigilancia Judicial; todo lo anterior, con el fin de hacer seguimiento a las actuaciones que se realizan en los procesos judiciales. Contamos con un (1) proceso ante la SIC en contra de DIAEGO Colombia S.A, setenta y dos (72) procesos penales y veintitrés (23) procesos judiciales de los cuales doce (12) es demandante la empresa. Para el mes de agosto de 2019, ninguno ha presentado fallo.</t>
  </si>
  <si>
    <t>La Oficina Asesora Jurídica realiza un control mensual de procesos a través de la página de la Rama Judicial, Constatando con la información suministrada por los asesores externos y la empresa de Vigilancia Judicial; todo lo anterior, con el fin de hacer seguimiento a las actuaciones que se realizan en los procesos judiciales. Contamos con un (1) proceso ante la SIC en contra de DIAEGO Colombia S.A, setenta y dos (72) procesos penales y veintitdos (22) procesos judiciales de los cuales doce (12) es demandante la empresa. Para el mes de septiembre de 2019, ninguno ha presentado fallo.</t>
  </si>
  <si>
    <t>Minimo de condenas en contra de la Empresa de Licores de Cundinamarca.</t>
  </si>
  <si>
    <r>
      <t xml:space="preserve">De acuerdo con los resultados obtenidos se logra visualizar </t>
    </r>
    <r>
      <rPr>
        <sz val="12"/>
        <color rgb="FF00B050"/>
        <rFont val="Arial"/>
        <family val="2"/>
      </rPr>
      <t>gestión favorable</t>
    </r>
    <r>
      <rPr>
        <sz val="12"/>
        <color rgb="FF000000"/>
        <rFont val="Arial"/>
        <family val="2"/>
      </rPr>
      <t xml:space="preserve"> en lo que respecta al indicador Representación Jurídicas.</t>
    </r>
  </si>
  <si>
    <t xml:space="preserve">
(# de procesos en contra/ # Total de procesos)
</t>
  </si>
  <si>
    <t>8.2.2.</t>
  </si>
  <si>
    <t>Contestación derechos de petición, solicitud de Información y Expedición de copias.</t>
  </si>
  <si>
    <t>Proyectar con calidad y oportunidad, revisar, firmar y hacer seguimiento al envio de las respuestas a los derechos de petición.</t>
  </si>
  <si>
    <t>(((Tiempo limite de respuesta - Tiempo real de respuesta)+Tiempo Limite)/Tiempo Limite)* 100</t>
  </si>
  <si>
    <t>Durante el mes de enero de 2019 la Oficina Asesora Jurídica no recibió derechos de petición.</t>
  </si>
  <si>
    <t>La Oficina Asesora Jurídica en aras de atender con calidad y oportunidad las solicitudes elevadas ante la Empresa, realiza el seguimiento y control de los derechos de petición radicados en la secretaria de la oficina, estableciendo su fecha de vencimiento para contestar en oportunidad. De igual manera es importante señalar que para dar respuesta de fondo, completa y con calidad a todas las solicitudes que se reciben en la oficina, se realiza una revisión periódica de la normatividad expedida a nivel nacional y departamental, durante el mes de febrero la Oficina Asesora Jurisca contesto dos (2) derechos de petición dentro del término legal señalado para tal fin. (15 días, Art 14, ley 1755 de 2012).</t>
  </si>
  <si>
    <t>La Oficina Asesora Jurídica en aras de atender con calidad y oportunidad las solicitudes elevadas ante la Empresa, realiza el seguimiento y control de los derechos de petición radicados en la secretaria de la oficina, estableciendo su fecha de vencimiento para contestar en oportunidad. De igual manera es importante señalar que para dar respuesta de fondo, completa y con calidad a todas las solicitudes que se reciben en la oficina, se realiza una revisión periódica de la normatividad expedida a nivel nacional y departamental, durante el mes de marzo la Oficina Asesora Jurisca contesto dos (2) derechos de petición dentro del término legal señalado para tal fin. (15 días, Art 14, ley 1755 de 2012).</t>
  </si>
  <si>
    <t>La Oficina Asesora Jurídica en aras de atender con calidad y oportunidad las solicitudes elevadas ante la Empresa, realiza el seguimiento y control de los derechos de petición radicados en la secretaria de la oficina, estableciendo su fecha de vencimiento para contestar en oportunidad. De igual manera es importante señalar que para dar respuesta de fondo, completa y con calidad a todas las solicitudes que se reciben en la oficina, se realiza una revisión periódica de la normatividad expedida a nivel nacional y departamental, durante el mes de abril la Oficina Asesora Jurídica contesto un (1) derecho de petición dentro del término legal señalado para tal fin. (15 días, Art 14, ley 1755 de 2012).</t>
  </si>
  <si>
    <t>La Oficina Asesora Jurídica en aras de atender con calidad y oportunidad las solicitudes elevadas ante la Empresa, realiza el seguimiento y control de los derechos de petición radicados en la secretaria de la oficina, estableciendo su fecha de vencimiento para contestar en oportunidad. De igual manera es importante señalar que para dar respuesta de fondo, completa y con calidad a todas las solicitudes que se reciben en la oficina, se realiza una revisión periódica de la normatividad expedida a nivel nacional y departamental, durante el mes de mayo la Oficina Asesora Jurídica contesto cuatro (4) derechos de petición dentro del término legal señalado para tal fin. (15 días, Art 14, ley 1755 de 2012).</t>
  </si>
  <si>
    <t>La Oficina Asesora Jurídica en aras de atender con calidad y oportunidad las solicitudes elevadas ante la Empresa, realiza el seguimiento y control de los derechos de petición radicados en la secretaria de la oficina, estableciendo su fecha de vencimiento para contestar en oportunidad. De igual manera es importante señalar que para dar respuesta de fondo, completa y con calidad a todas las solicitudes que se reciben en la oficina, se realiza una revisión periódica de la normatividad expedida a nivel nacional y departamental, durante el mes de junio la Oficina Asesora Jurídica recibio (2) derechos de petición los cuales estan pendientes de dar respuesta.</t>
  </si>
  <si>
    <t>La Oficina Asesora Jurídica en aras de atender con calidad y oportunidad las solicitudes elevadas ante la Empresa, realiza el seguimiento y control de los derechos de petición radicados en la secretaria de la oficina, estableciendo su fecha de vencimiento para contestar en oportunidad. De igual manera es importante señalar que para dar respuesta de fondo, completa y con calidad a todas las solicitudes que se reciben en la oficina, se realiza una revisión periódica de la normatividad expedida a nivel nacional y departamental, durante el mes de julio la Oficina Asesora Jurídica recibio nueve (9) derechos de petición los cuales estan pendientes de dar respuesta.</t>
  </si>
  <si>
    <t>Durante el mes de agosto de 2019 la Oficina Asesora Jurídica no recibió derechos de petición.</t>
  </si>
  <si>
    <t>La Oficina Asesora Jurídica en aras de atender con calidad y oportunidad las solicitudes elevadas ante la Empresa, realiza el seguimiento y control de los derechos de petición radicados en la secretaria de la oficina, estableciendo su fecha de vencimiento para contestar en oportunidad. De igual manera es importante señalar que para dar respuesta de fondo, completa y con calidad a todas las solicitudes que se reciben en la oficina, se realiza una revisión periódica de la normatividad expedida a nivel nacional y departamental, durante el mes de septiembre la Oficina Asesora Jurídica recibio dos (2) derechos de petición los cuales estan pendientes de dar respuesta.</t>
  </si>
  <si>
    <t>Aumentar la eficiencia en el bimestre.</t>
  </si>
  <si>
    <t>Se obtiene resultados de cumplimiento, sin embargo se sugiere dar alcance en terminos de eficiencia, lo anterior conforme a tipo de indicador definido y su formulación.</t>
  </si>
  <si>
    <t>Control de Marcas y Patentes.</t>
  </si>
  <si>
    <t>8.3.1.</t>
  </si>
  <si>
    <t>Defensa de marca.</t>
  </si>
  <si>
    <t>Ejercer la defensa contra la competencia desleal, practicas restrictivas de la competencia, y cualquier otra forma de vulneración comercial de las marcas de la Empresa de Licores de Cundinamarca.</t>
  </si>
  <si>
    <t>((Número de procesos y actuaciones administrativas realizadas / Número de procesos y actuaciones administrativas solicitadas y/o requeridas)*100).</t>
  </si>
  <si>
    <t>Durante el mes de enero de 2019 la Oficina Asesora Jurídica no requirió efectuar  ninguna acción de defensa.</t>
  </si>
  <si>
    <t>Durante el mes de febrero de 2019 la Oficina Asesora Jurídica no requirió efectuar  ninguna acción de defensa.</t>
  </si>
  <si>
    <t>Durante el mes de marzo de 2019 la Oficina Asesora Jurídica no requirió efectuar  ninguna acción de defensa.</t>
  </si>
  <si>
    <t>Con el fin de ejercer la defensa contra la competencia desleal o cualquier vulneración comercial de las marcas de la Empresa de Licores de Cundianamarca, la Oficina Asesora Juridica realiza una revisión a las Gacetas de propiedad industrial y Comercio; de igual manera se realizan actividades de vigilancia al entorno digital (television, radio, redes sociales) para prevenir el uso de marcas registradas por la empresa; Durante el mes de abril solo fue necesario efectuar una (1) acción de defensa.</t>
  </si>
  <si>
    <t>Durante el mes de mayo de 2019 la Oficina Asesora Jurídica no requirió efectuar  ninguna acción de defensa.</t>
  </si>
  <si>
    <t>Durante el mes de junio de 2019 la Oficina Asesora Jurídica no requirió efectuar  ninguna acción de defensa.</t>
  </si>
  <si>
    <t>Medición semestral.</t>
  </si>
  <si>
    <t>Mitigar al 100%, los efectos de la competencia desleal.</t>
  </si>
  <si>
    <t>8.3.</t>
  </si>
  <si>
    <t>8.3.2.</t>
  </si>
  <si>
    <t>Registro de marcas.</t>
  </si>
  <si>
    <t>Medir el nivel de cumplimiento de solicitudes de control de marcas y patentes atendidas con respecto a las solicitudes ejecutadas.</t>
  </si>
  <si>
    <t>((Número de registros realizados en oportunidad/ Número de registros solicitados)*100).</t>
  </si>
  <si>
    <t>Oficina Asesora Jurídica, Subgerencia Comercial, Subgerencia Técnica.</t>
  </si>
  <si>
    <t>La Oficina Asesora Jurídica cuenta con una base de datos a través de la cual es posible determinar que registros sanitarios, marcas, nombres o lemas comerciales, se encuentran próximos a vencerse; Ejecutado el seguimiento antes mencionado, durante el mes de enero se solicitó la renovación de un (1) registro sanitario.</t>
  </si>
  <si>
    <t>La Oficina Asesora Jurídica cuenta con una base de datos a través de la cual es posible determinar que registros sanitarios, marcas, nombres o lemas comerciales, se encuentran próximos a vencerse; Ejecutado el seguimiento antes mencionado, durante el mes de febrero se solicitó la renovación de dos (2) registro sanitarios,  un  (1) registro de marca; y  cincuenta y tres  (53) dominios de internet.</t>
  </si>
  <si>
    <t>La Oficina Asesora Jurídica cuenta con una base de datos a través de la cual es posible determinar que registros sanitarios, marcas, nombres o lemas comerciales, se encuentran próximos a vencerse; Ejecutado el seguimiento antes mencionado, durante el mes de marzo se solicitó la renovación de un (1) registro sanitario.</t>
  </si>
  <si>
    <t>La Oficina Asesora Jurídica cuenta con una base de datos a través de la cual es posible determinar que registros sanitarios, marcas, nombres o lemas comerciales, se encuentran próximos a vencerse; Ejecutado el seguimiento antes mencionado, durante el mes de abril no se solicitó la renovación de marcas y/o registros sanitarios pero si se genero la renovaron de nueve (9) dominios de internet.</t>
  </si>
  <si>
    <t>Durante el mes de mayo de 2019, no se hizo necesaria la solicitud o renovación de marcas o registros sanitarios.</t>
  </si>
  <si>
    <t>La Oficina Asesora Jurídica cuenta con una base de datos a través de la cual es posible determinar que registros sanitarios, marcas, nombres o lemas comerciales, se encuentran próximos a vencerse; Ejecutado el seguimiento antes mencionado, durante el mes de junio se solicitó la renovación de un (1) registro sanitario.</t>
  </si>
  <si>
    <t>9.</t>
  </si>
  <si>
    <t xml:space="preserve">GESTIÓN TIC. </t>
  </si>
  <si>
    <t>9.1.</t>
  </si>
  <si>
    <t>Sistemas de Información.</t>
  </si>
  <si>
    <t>9.1.1.</t>
  </si>
  <si>
    <t xml:space="preserve">Soporte plataforma tecnológica. </t>
  </si>
  <si>
    <t xml:space="preserve">Mantener la infraestructura  de Redes y Sistemas de información y Comunicación, sin fallas, cortes ni interrupciones del servicio y responder oportunamente a las solicitudes o incidencia reportadas por el usuario.  </t>
  </si>
  <si>
    <t>((No de requerimientos atendidos oportunamente (atendidos  máximo en 2 dias) / No de requerimientos solicitados)*100).</t>
  </si>
  <si>
    <t>Oficina Asesora de Planeación y Sistemas de Información.</t>
  </si>
  <si>
    <t>Semanal.</t>
  </si>
  <si>
    <t xml:space="preserve">Para el mes de enero se reportaron en la plataforma Mesa de Ayuda (21) casos, los cuales fueron atentidos y solucionados oportunamente en su totalidad. Lo que nos permite mantener en total funcionamiento los sistemas de información.  </t>
  </si>
  <si>
    <t xml:space="preserve">Para el mes de enero se reportaron en la plataforma Mesa de Ayuda (26) casos, los cuales fueron atentidos y solucionados oportunamente en su totalidad. Lo que nos permite mantener en total funcionamiento los sistemas de información.  </t>
  </si>
  <si>
    <t xml:space="preserve">Para el mes de enero se reportaron en la plataforma Mesa de Ayuda (14) casos, de los cuales fueron atentidos y solucionados oportunamente (13) de estos casos. El caso que esta pendiente es un cambio en la configuración que se debe realizar en el aplicativo ORFEO y el cúal fue escalado al Ingeniero encargado de realizar el cambio tanto en el servidor de ORFEO como en el computador encargado de administrar el escaner de digitalización de los documentos de la ventanilla unica de correspondencia. De igual manera los sistemas de información se encuentran en correcto funcionamiento. 
</t>
  </si>
  <si>
    <t xml:space="preserve">Para el mes de abril se reportaron en la plataforma Mesa de Ayuda (23) requerimientos, de los cuales todos fueron atendidos oportunamente. Lo que nos permite mantener en total funcionamiento los sistemas de información durante el mes y así garantizar que los requerimientos fueron atendidos y solucionados. </t>
  </si>
  <si>
    <t xml:space="preserve">Para el mes de mayo se reportaron en la plataforma Mesa de Ayuda (11) requerimientos, de los cuales fueron atendidos y solucionados oportunamente (10) de estos requerimientos. El caso que esta pendiente es la revisión de las tomas de corriente regulada (naranja) que se encuentran en la Subgerencia de Talento Humano las cuales deben ser revisadas por parte de la Subgerencia Administrativa. Ademas que se debe escalar el cambio de extensión que se solicita en el saludo inicial de la ingreso de llamadas a la E.L.C. </t>
  </si>
  <si>
    <t xml:space="preserve">Para el mes de junio se reportaron en la plataforma Mesa de Ayuda (8) requerimientos, de los cuales todos fueron atendidos oportunamente. Lo que nos permite mantener en total funcionamiento los sistemas de información durante el mes y así garantizar que los requerimientos fueron atendidos y solucionados. </t>
  </si>
  <si>
    <t xml:space="preserve">Para el mes de Julio se reportaron en la plataforma Mesa de Ayuda (8) requerimientos, de los cuales todos fueron atendidos oportunamente. Lo que nos permite mantener en total funcionamiento los sistemas de información durante el mes y así garantizar que los requerimientos fueron atendidos y solucionados. </t>
  </si>
  <si>
    <t xml:space="preserve">Para el mes de Mayo se reportaron en la plataforma Mesa de Ayuda (10) requerimientos, de los cuales fueron atendidos y solucionados oportunamente (9) de estos requerimientos. El caso que esta pendiente es la revisión del equipo asignado a la Funcionaria Diana Velandia el cual presenta lentitud y bloqueos constantes. Se esta revisando la posibilidad de cambiar el equipo o instalar un disco de estado solido para mejorar su rendimiento. No se puede cambiar debido a que no se cuenta con equipos disponibles. </t>
  </si>
  <si>
    <t xml:space="preserve">Para el mes de Mayo se reportaron en la plataforma Mesa de Ayuda (12) requerimientos, de los cuales fueron atendidos y solucionados oportunamente (11) de estos requerimientos. El caso que esta pendiente es la revisión del equipo asignado a la Funcionaria Diana Velandia el cual presenta lentitud y bloqueos constantes. Se esta revisando la posibilidad de cambiar el equipo o instalar un disco de estado solido para mejorar su rendimiento. No se puede cambiar debido a que no se cuenta con equipos disponibles. </t>
  </si>
  <si>
    <t xml:space="preserve"> &gt;= 80%</t>
  </si>
  <si>
    <r>
      <t xml:space="preserve">De acuerdo con los resultados obtenidos se logra visualizar </t>
    </r>
    <r>
      <rPr>
        <sz val="12"/>
        <color rgb="FF00B050"/>
        <rFont val="Arial"/>
        <family val="2"/>
      </rPr>
      <t>gestión favorable</t>
    </r>
    <r>
      <rPr>
        <sz val="12"/>
        <color rgb="FF000000"/>
        <rFont val="Arial"/>
        <family val="2"/>
      </rPr>
      <t xml:space="preserve"> en lo que respecta al indicador Soporte plataforma tecnológica.</t>
    </r>
  </si>
  <si>
    <t>9.1.2.</t>
  </si>
  <si>
    <t>Sostenibildad del sistema de información SAP.</t>
  </si>
  <si>
    <t>Garantizar la sostenibilidad de cada uno de los módulos del  sistema de información SAP y  Revisar y controlar el estatus de cada uno de los modulos de ERP-SAP, con el fin de garantiza su correcto funcionamiento.</t>
  </si>
  <si>
    <t>((No. de módulos sin requerimientos y/o fallas /No.total de módulos)*100).</t>
  </si>
  <si>
    <t xml:space="preserve">A corte de enero de 2019 los módulos de FI, PSM y MM, presentan requerimientos los cuales obedecen a cambio de vigencia (cambio de consecutivos, traslados de periodos, traslado de saldos), lo cual genera los resultados obtenidos para el primer periodo de la vigencia 2019.
</t>
  </si>
  <si>
    <t>A corte de febrero de 2019 los módulos de PSM y MM, presentan requerimientos los cuales obedecen a cambios referentes a (para el módulo PSM modificación reportes de ejecución pasiva y activa, y para el modulo MM se efectúa mejora en el proceso de reservas, lo anterior con el fin de generar favorabilidad en materia ambiental.</t>
  </si>
  <si>
    <t xml:space="preserve">A corte de marzo de 2019 los módulos de FI y MM, presentan requerimientos los cuales obedecen a cambios referentes a (Para el modulo FI, apoyo para la generación de la información en materia de reportes tributarios nacionales, distritales y municipales lo cual conlleva a cumplimiento de obligación formal en términos de exógena y para el modulo MM, se efectúa mejora en el proceso de reservas, lo anterior con el fin de generar favorabilidad en materia ambiental). </t>
  </si>
  <si>
    <t>Se dio incio al desarrollo en el modulo de FI para que se generen de manera directa los reportes a la contaduria general de la nacion; por otra parte continuamos con el ajuste del modulo de PSM con respecto a actulizacion de estatus pag.</t>
  </si>
  <si>
    <t>Se da inicio a la configuracion del modulo de proyectos PS, se realiza reuniones para establecer el alcance y poder asi resivir propuesta de solucion; por otra parte se continua con el desarrollo de los reportes a la contaduria general de la nacion en FI.</t>
  </si>
  <si>
    <t>En el mes de junio se establecio la estructura para el modulo de PS; los reportes a la CGN estan ya en pruebas y revisiones correspondientes con respecto a los saldos del sistema el FI.</t>
  </si>
  <si>
    <t xml:space="preserve">A corte de Julio de 2019 los módulos de FI y MM, presentan requerimientos los cuales obedecen a cambios referentes a desarrollos para informes a entes de control y para el modulo MM, se efectúa mejoras en el monitor de contratacion </t>
  </si>
  <si>
    <t>A corte de Agosto de 2019 los módulos de FI,  MM y WM, presentan requerimientos los cuales obedecen a desarrollos para mejorar operaciones. En el caso de WM es la creacion de la bodega de solera para el manejo de Tafias</t>
  </si>
  <si>
    <t>A corte de Septiembre de 2019 los módulos de FI,  PS y WM, presentan requerimientos los cuales obedecen a desarrollos para mejorar operaciones. En el caso de WM se continua con la configuracion de la bodega de solera para el manejo de Tafias, se da inicio al cierre de configuracion del modulo de proyectos PS y se inicia proceso de capacitacion.</t>
  </si>
  <si>
    <t>&lt;30%</t>
  </si>
  <si>
    <r>
      <t xml:space="preserve">De acuerdo con los resultados obtenidos se logra visualizar </t>
    </r>
    <r>
      <rPr>
        <sz val="12"/>
        <color rgb="FF00B050"/>
        <rFont val="Arial"/>
        <family val="2"/>
      </rPr>
      <t>gestión favorable</t>
    </r>
    <r>
      <rPr>
        <sz val="12"/>
        <color rgb="FF000000"/>
        <rFont val="Arial"/>
        <family val="2"/>
      </rPr>
      <t xml:space="preserve"> en lo que respecta al indicador Sostenibildad del sistema de información SAP.</t>
    </r>
  </si>
  <si>
    <t>9.1.3.</t>
  </si>
  <si>
    <t>Actualización y acceso a página web.</t>
  </si>
  <si>
    <t xml:space="preserve">Garantizar la actualización periodica de la información disponible en la pagina web de la empresa e intranet y el acceso a todos los usuarios. </t>
  </si>
  <si>
    <t>(Items dispuestos en la página oficial de la entidad / Items requeridos por la normatividad).</t>
  </si>
  <si>
    <t>No se obtienen resultados de avance en materia de cumplimiento de la Ley 1712 del 06 de marzo de 2014, lo anterior teniendo en cuenta que en este periodo de tiempo se realizó la solicitud de vacaciones de periodo, por tanto no se generan los resultados de negocio esperados.</t>
  </si>
  <si>
    <t>Se establecen actividades de programa para el periodo de febrero y marzo de la vigencia 2019, cuyo fin es obtener resultados favorables en ámbito de transparencia y acceso a la información pública, dichas actividades se programan mediante comité de Grupo Digital en consenso general con los Roles del mismo.</t>
  </si>
  <si>
    <t>Se ejecutan acciones en materia documental, generando control de cambios al Procedimiento MPA0602000000.P02-2 al cual se integra seis (6) formatos, con el fin de dar alcance a Metodología de Apertura de Datos y obtener resultados de cumplimiento de acuerdo con los principios de Transparencia y Acceso a la Información Pública contenidos en la Ley 1712 del 06 de marzo de 2014.  Así mismo se genera la correspondiente socialización a todo nivel, exceptuando la gestión de envasadero de la entidad, lo anterior teniendo en cuenta el giro de ordinario del mismo.</t>
  </si>
  <si>
    <t>De acuerdo a lo establecido en la Ley 1712 del 06 de marzo de 2014 y demás normatividad aplicable se participa en capacitación en los tres habilitadores transversales Arquitectura, Seguridad y Privacidad y Servicios Ciudadanos Digitales, lo anterior con el fin de dar aplicabilidad a lo requerido por la norma.</t>
  </si>
  <si>
    <t>Se genera avances en términos de cumplimiento de la Ley 1712 del 06 de marzo de 2014 y demás normatividad aplicable, en 17.28 puntos porcentuales con respecto al periodo anterior y ha actividades de programa planteadas para el proyecto estrategia digital de la entidad.</t>
  </si>
  <si>
    <t>Se da alcance a demás actividades programadas que conlleven a cumplimiento y logro de los objetivos trazados por la entidad en términos de transparencia y acceso a la información pública de la Empresa de Licores de Cundinamarca.</t>
  </si>
  <si>
    <t>Se genera incremento de 2.94 puntos básicos frente al trimestre precedente, lo cual aumenta los resultados en términos de cumplimiento de la Ley 1712 del 06 de marzo de 2014.</t>
  </si>
  <si>
    <r>
      <t xml:space="preserve">De acuerdo con los resultados obtenidos se logra visualizar </t>
    </r>
    <r>
      <rPr>
        <sz val="12"/>
        <color rgb="FF00B050"/>
        <rFont val="Arial"/>
        <family val="2"/>
      </rPr>
      <t>gestión favorable</t>
    </r>
    <r>
      <rPr>
        <sz val="12"/>
        <color rgb="FF000000"/>
        <rFont val="Arial"/>
        <family val="2"/>
      </rPr>
      <t xml:space="preserve"> en lo que respecta al indicador Actualización y acceso a página web.</t>
    </r>
  </si>
  <si>
    <t>9.1.4.</t>
  </si>
  <si>
    <t>Mantenimiento plataforma tecnológica.</t>
  </si>
  <si>
    <t xml:space="preserve">Mantener la plataforma tecnológica de la Empresa de Licores de Cundinamarca en optimo funcionamiento. Con el fin de generar productividad y estabilidad en cada uno de los procesos establecidos por la entidad. </t>
  </si>
  <si>
    <t>((Total Mantenimientos ejecutados / Total mantenimientos preventivos programados)*100).</t>
  </si>
  <si>
    <t xml:space="preserve">De acuerdo a la Programación de los mantenimientos preventivos a los equipos de la infraestructura tecnológica. Se realizaro el mantenimiento a los 126 equipos programados para el primer semestre. Se elaboraron y ejecutaron los planes de mantenimiento y ordenes de servicio correspondientes de mantenimiento. Estas se pueden consultar en el ERP-SAP donde estan debidamente especificadas las actividades que se le realizaron a cada uno de los equipos de cómputo. </t>
  </si>
  <si>
    <t>10.</t>
  </si>
  <si>
    <t>GESTIÓN DE COMUNICACIONES INSTITUCIONALES.</t>
  </si>
  <si>
    <t>10.1.</t>
  </si>
  <si>
    <t>Comunciación Corporativa.</t>
  </si>
  <si>
    <t>10.1.1.</t>
  </si>
  <si>
    <t>Uso de piezas comunicativas.</t>
  </si>
  <si>
    <t>Controlar y supervisar el uso de la imagen corporativa en piezas comunicativas.</t>
  </si>
  <si>
    <t>Efectividad.</t>
  </si>
  <si>
    <t>Número de requerimientos recepcionados/ Número de requerimientos atendidos.</t>
  </si>
  <si>
    <t>Se ha recibido la solicitud de 30  piezas comunicativas, de las cuales se ha dado cumplimiento en su totalidad dando un uso de adecuado de la imagen corporativa y sus elementos</t>
  </si>
  <si>
    <t>70 - 100%</t>
  </si>
  <si>
    <t>10.1.2.</t>
  </si>
  <si>
    <t>Proyección comunicación corporativa.</t>
  </si>
  <si>
    <t>Realizar comunicados corporativos que muestren la gestión y logros de la Empresa de Licores de Cundinamarca.</t>
  </si>
  <si>
    <t>Número de comunicados proyectados/ Número comunicados publicados.</t>
  </si>
  <si>
    <t xml:space="preserve">Se hace la emisión de 19  comunicados de prensa sobre las actividades realizadas. </t>
  </si>
  <si>
    <t>Comunicaciones Externas.</t>
  </si>
  <si>
    <t>10.2.1.</t>
  </si>
  <si>
    <t>Digitales de Imagen.</t>
  </si>
  <si>
    <t>Medir el nivel de nuevos seguidores en las diferentes redes sociales, esto con el fin de conocer el posicionamiento de la marca frente a la competencia.</t>
  </si>
  <si>
    <t>Número de nuevos seguidores en el periodo / Número de seguidores reportados en el periodo anterior.</t>
  </si>
  <si>
    <t>Las publicaciones del mes de enero cumplieron con el objetivo de generar un poscionamiento de marca, lo que se ve reflejado en el número de seguidores de las redes sociales</t>
  </si>
  <si>
    <t>Los stakeholders sintieron una cercanía con las publicaciones y a través de su interacción se logró aumentar el número de seguidores de las redes sociales.</t>
  </si>
  <si>
    <t>La interacción presentada en las redes sociales y el voz a voz que ha generado el posicionamiento de las marcas ha permitido un aumento de los seguidores</t>
  </si>
  <si>
    <t>El número de seguidores para el mes de mayo fue menor al mes anterior, pues las publicaciones no generaron una afinidad con el público</t>
  </si>
  <si>
    <t>Las publicaciones del mes de marzo en redes sociales no generaron un impacto en los stakeholders, por lo que se disminuyó el número de seguidores.</t>
  </si>
  <si>
    <t>La diferencia entre los seguidores no es significativa, sin embargo se observa que para este mes las publicaciones obtuvieron un mejor resultado</t>
  </si>
  <si>
    <t>El público es cambiante y no reaccioná de la manera esperada frente a las diferentes actividades programadas para las redes sociales.</t>
  </si>
  <si>
    <t xml:space="preserve">Los seguidores de las redes han disminuido. </t>
  </si>
  <si>
    <r>
      <t xml:space="preserve">De acuerdo con los resultados reportados por la gestión administrativa se visualiza desviación del indicador, por tanto se requiere proyectar </t>
    </r>
    <r>
      <rPr>
        <sz val="12"/>
        <color rgb="FFFF0000"/>
        <rFont val="Arial"/>
        <family val="2"/>
      </rPr>
      <t>acción correctiva.</t>
    </r>
  </si>
  <si>
    <t>10.2.2.</t>
  </si>
  <si>
    <t>Posicionamiento marcas regional y nacional.</t>
  </si>
  <si>
    <t>Difusión y aceptación con fines de publicaciones de campañas comerciales de las marcas de la Empresa de Licores de Cundinamarca.</t>
  </si>
  <si>
    <t>Número de solicitudes de publicación / Número de publicaciones difundidas.</t>
  </si>
  <si>
    <t xml:space="preserve">El objetivo de la subgerencia comercial es difundir campañas publicitarias en los medios de las 15 provincias de Cundinamarca, de los cuales se tiene presencia de marca en 11 provincias. </t>
  </si>
  <si>
    <t>Para el segundo trimestre del año se sigue manteniendo la presencia de campañas publicitarias en 11 municipios, ya que no se ha firmado otro contrato o acuerdo con medios.</t>
  </si>
  <si>
    <t>El objetivo de la Subgerencia Comercial ha sido estar en los medios regionales del departamento. Por lo que en este momento se tiene presencia en 11 medios de un total de 15, igual que al anterior trimestre.</t>
  </si>
  <si>
    <t>11.</t>
  </si>
  <si>
    <t>GESTIÓN DE MANTENIMIENTO.</t>
  </si>
  <si>
    <t>Mantenimiento Preventivo / Correctivo</t>
  </si>
  <si>
    <t>11.1.1.</t>
  </si>
  <si>
    <t>MTBF (Tiempo medio entre fallas) por línea.</t>
  </si>
  <si>
    <t>Determinar el tiempo promedio entre paros no programados de cada linea de producciòn.</t>
  </si>
  <si>
    <t>Tiempo disponible- Tiempo de inactividad/ Número de fallas.</t>
  </si>
  <si>
    <t>Minutos.</t>
  </si>
  <si>
    <t>En el mes de enero segun su indicador (MTBF) el tiempo promedio entre paros no programados de cada linea de producciòn es de 565,69 minutos, obteniendo una disponibilidad del 92,6%. segun este indicador (DISPONIBILIDAD) corresponde al tiempo que una maquina esta disponible durante un tiempo definido de trabajo. MTBF/(MTBF+MTTR)= Tiempo de operación/(tiempo de operación + tiempo de reparación) =Disponibilidad.</t>
  </si>
  <si>
    <t>En el mes de febrero segun su indicador (MTBF) el tiempo promedio entre paros no programados de cada linea de producciòn es de 1435,57 minutos, obteniendo una disponibilidad del 98%. segun este indicador (DISPONIBILIDAD) corresponde al tiempo que una maquina esta disponible durante un tiempo definido de trabajo. MTBF/(MTBF+MTTR)= Tiempo de operación/(tiempo de operación + tiempo de reparación) =Disponibilidad.</t>
  </si>
  <si>
    <t>En el mes de marzo segun su indicador (MTBF) el tiempo promedio entre paros no programados de cada linea de producciòn es de 1193,73 minutos, obteniendo una disponibilidad del 95,5%. segun este indicador (DISPONIBILIDAD) corresponde al tiempo que una maquina esta disponible durante un tiempo definido de trabajo. MTBF/(MTBF+MTTR)= Tiempo de operación/(tiempo de operación + tiempo de reparación) =Disponibilidad.</t>
  </si>
  <si>
    <t xml:space="preserve">En el mes de abril según su indicador (MTBF) el tiempo promedio entre paros no programados de cada línea de producción es de 1107,08 minutos, obteniendo una disponibilidad del 97,1%. según este indicador (DISPONIBILIDAD) corresponde al tiempo que una maquina está disponible durante un tiempo definido de trabajo. MTBF/(MTBF+MTTR)= Tiempo de operación/(tiempo de operación + tiempo de reparación) =Disponibilidad.
</t>
  </si>
  <si>
    <t>En el mes de mayo según su indicador (MTBF) el tiempo promedio entre paros no programados de cada línea de producción es de 1004,9 minutos, obteniendo una disponibilidad del 96,4%. según este indicador (DISPONIBILIDAD) corresponde al tiempo que una maquina está disponible durante un tiempo definido de trabajo. MTBF/(MTBF+MTTR)= Tiempo de operación/(tiempo de operación + tiempo de reparación) =Disponibilidad.</t>
  </si>
  <si>
    <t>En el mes de junio según su indicador (MTBF) el tiempo promedio entre paros no programados de cada línea de producción es de 509,44 minutos, obteniendo una disponibilidad del 91,7%. según este indicador (DISPONIBILIDAD) corresponde al tiempo que una maquina está disponible durante un tiempo definido de trabajo. MTBF/(MTBF+MTTR)= Tiempo de operación/(tiempo de operación + tiempo de reparación) =Disponibilidad.</t>
  </si>
  <si>
    <t>En el mes de julio segun su indicador (MTBF) el tiempo promedio entre paros no programados de cada linea de producciòn es de 1577,5 minutos, obteniendo una disponibilidad del 97,1%. segun este indicador (DISPONIBILIDAD) corresponde al tiempo que una maquina esta disponible durante un tiempo definido de trabajo. MTBF/(MTBF+MTTR)= Tiempo de operación/(tiempo de operación + tiempo de reparación) =Disponibilidad.</t>
  </si>
  <si>
    <t>En el mes de Agosto segun su indicador (MTBF) el tiempo promedio entre paros no programados de cada linea de producciòn es de 787,56 minutos, obteniendo una disponibilidad del 90,5%. segun este indicador (DISPONIBILIDAD) corresponde al tiempo que una maquina esta disponible durante un tiempo definido de trabajo. MTBF/(MTBF+MTTR)= Tiempo de operación/(tiempo de operación + tiempo de reparación) =Disponibilidad.</t>
  </si>
  <si>
    <t>En el mes de Septiembre segun su indicador (MTBF) el tiempo promedio entre paros no programados de cada linea de producciòn es de 753,51 minutos, obteniendo una disponibilidad del 95,4%. segun este indicador (DISPONIBILIDAD) corresponde al tiempo que una maquina esta disponible durante un tiempo definido de trabajo. MTBF/(MTBF+MTTR)= Tiempo de operación/(tiempo de operación + tiempo de reparación) =Disponibilidad.</t>
  </si>
  <si>
    <t>85 - 100%</t>
  </si>
  <si>
    <r>
      <t xml:space="preserve">De acuerdo con los resultados obtenidos se logra visualizar </t>
    </r>
    <r>
      <rPr>
        <sz val="12"/>
        <color rgb="FF00B050"/>
        <rFont val="Arial"/>
        <family val="2"/>
      </rPr>
      <t>gestión favorable</t>
    </r>
    <r>
      <rPr>
        <sz val="12"/>
        <color rgb="FF000000"/>
        <rFont val="Arial"/>
        <family val="2"/>
      </rPr>
      <t xml:space="preserve"> en lo que respecta al indicador MTBF (Tiempo medio entre fallas) por línea.</t>
    </r>
  </si>
  <si>
    <t>11.1.2.</t>
  </si>
  <si>
    <t>MTTR (Tiempo medio para reparar) por línea.</t>
  </si>
  <si>
    <t>Determinar en promedio en cuanto tiempo se resuelve al paro no programado.</t>
  </si>
  <si>
    <t>Tiempo total de innactividad / Número de Fallas.</t>
  </si>
  <si>
    <t>En el mes de enero segun su indicador (MTTR) el tiempo promedio de reparacion es de 45,42 minutos, obteniendo una disponibilidad del 92,6%. segun este indicador (DISPONIBILIDAD) corresponde al tiempo que una maquina esta disponible durante un tiempo definido de trabajo. MTBF/(MTBF+MTTR)= Tiempo de operación/(tiempo de operación + tiempo de reparación) =Disponibilidad.</t>
  </si>
  <si>
    <t>En el mes de febrero segun su indicador (MTTR) el tiempo promedio de reparacion es de  28,71 minutos, obteniendo una disponibilidad del 98%. segun este indicador (DISPONIBILIDAD) corresponde al tiempo que una maquina esta disponible durante un tiempo definido de trabajo. MTBF/(MTBF+MTTR)= Tiempo de operación/(tiempo de operación + tiempo de reparación) =Disponibilidad.</t>
  </si>
  <si>
    <t>En el mes de marzo segun su indicador (MTTR) el tiempo promedio de reparacion es de 56,27 minutos, obteniendo una disponibilidad del 95,5%. segun este indicador (DISPONIBILIDAD) corresponde al tiempo que una maquina esta disponible durante un tiempo definido de trabajo. MTBF/(MTBF+MTTR)= Tiempo de operación/(tiempo de operación + tiempo de reparación) =Disponibilidad.</t>
  </si>
  <si>
    <t>En el mes de abril según su indicador (MTTR) el tiempo promedio de reparación es de 32,75 minutos, obteniendo una disponibilidad del  97,1%. según este indicador (DISPONIBILIDAD) corresponde al tiempo que una maquina está disponible durante un tiempo definido de trabajo. MTBF/(MTBF+MTTR)= Tiempo de operación/(tiempo de operación + tiempo de reparación) =Disponibilidad.</t>
  </si>
  <si>
    <t>En el mes de mayo según su indicador (MTTR) el tiempo promedio de reparación es de 37,94  minutos, obteniendo una disponibilidad del 96,4%. según este indicador (DISPONIBILIDAD) corresponde al tiempo que una maquina está disponible durante un tiempo definido de trabajo. MTBF/(MTBF+MTTR)= Tiempo de operación/(tiempo de operación + tiempo de reparación) =Disponibilidad.</t>
  </si>
  <si>
    <t>En el mes de junio según su indicador (MTTR) el tiempo promedio de reparación es de 46,11 minutos, obteniendo una disponibilidad del 91,7%. según este indicador (DISPONIBILIDAD) corresponde al tiempo que una maquina está disponible durante un tiempo definido de trabajo. MTBF/(MTBF+MTTR)= Tiempo de operación/(tiempo de operación + tiempo de reparación) =Disponibilidad.</t>
  </si>
  <si>
    <t>En el mes de julio segun su indicador (MTTR) el tiempo promedio de reparacion es de 47,5 minutos, obteniendo una disponibilidad del 97,1%. segun este indicador (DISPONIBILIDAD) corresponde al tiempo que una maquina esta disponible durante un tiempo definido de trabajo. MTBF/(MTBF+MTTR)= Tiempo de operación/(tiempo de operación + tiempo de reparación) =Disponibilidad.</t>
  </si>
  <si>
    <t>En el mes de Agosto segun su indicador (MTTR) el tiempo promedio de reparacion es de 82,81 minutos, obteniendo una disponibilidad del 90,5%. segun este indicador (DISPONIBILIDAD) corresponde al tiempo que una maquina esta disponible durante un tiempo definido de trabajo. MTBF/(MTBF+MTTR)= Tiempo de operación/(tiempo de operación + tiempo de reparación) =Disponibilidad.</t>
  </si>
  <si>
    <t>En el mes de Septiembre segun su indicador (MTTR) el tiempo promedio de reparacion es de 35,96 minutos, obteniendo una disponibilidad del 95,4%. segun este indicador (DISPONIBILIDAD) corresponde al tiempo que una maquina esta disponible durante un tiempo definido de trabajo. MTBF/(MTBF+MTTR)= Tiempo de operación/(tiempo de operación + tiempo de reparación) =Disponibilidad.</t>
  </si>
  <si>
    <r>
      <t xml:space="preserve">De acuerdo con los resultados obtenidos se logra visualizar </t>
    </r>
    <r>
      <rPr>
        <sz val="12"/>
        <color rgb="FF00B050"/>
        <rFont val="Arial"/>
        <family val="2"/>
      </rPr>
      <t>gestión favorable</t>
    </r>
    <r>
      <rPr>
        <sz val="12"/>
        <color rgb="FF000000"/>
        <rFont val="Arial"/>
        <family val="2"/>
      </rPr>
      <t xml:space="preserve"> en lo que respecta al indicador MTTR (Tiempo medio para reparar) por línea.</t>
    </r>
  </si>
  <si>
    <t>12.</t>
  </si>
  <si>
    <t>GESTIÓN CONTRACTUAL.</t>
  </si>
  <si>
    <t>12.1.</t>
  </si>
  <si>
    <t>Adquisición de bienes y servicios y comercialización de los productos de la Empresa de Licores de Cundinamarca.</t>
  </si>
  <si>
    <t>12.1.1.</t>
  </si>
  <si>
    <t>Indice de costos/ gastos para la dependencia Oficina gestión contractual.</t>
  </si>
  <si>
    <t>Costos y/o gastos totales incurridos por la Oficina gestión contractual/ Costos y/o gastos totales incurridos por la ELC.</t>
  </si>
  <si>
    <t xml:space="preserve">Oficina Gestión Contractual. </t>
  </si>
  <si>
    <t>El 1,98% del total de los gastos incurridos por la Empresa de Licores de Cundinamarca en el mes de enero de 2019 corresponden a costos y gastos generados por parte de la Oficina de Gestión contractual.</t>
  </si>
  <si>
    <t>El 2,55% del total de los gastos incurridos por la Empresa de Licores de Cundinamarca en el mes de febrero de 2019 corresponden a costos y gastos generados por parte de la Oficina de gestión contractual.</t>
  </si>
  <si>
    <t>El 2,35% del total de los gastos incurridos por la Empresa de Licores de Cundinamarca en el mes de marzo de 2019 corresponden a costos y gastos generados por parte de la Oficina de gestión contractual.</t>
  </si>
  <si>
    <t xml:space="preserve">Para abril del 2019, la participacion del gasto de la oficina de Gestion Contractual fue de 3,09% respecto al total de los gastos de la ELC </t>
  </si>
  <si>
    <t>Para el periodo de Mayo de 2019, la participacion en gasto de la Oficina de Gestión Contractual fue de 1,91% respecto al total de los gastos de la ELC</t>
  </si>
  <si>
    <t>Para el periodo de Junio de 2019, la participacion en gasto de la Oficina de Gestión Contractual fue de 1,82% respecto al total de los gastos de la ELC</t>
  </si>
  <si>
    <t>Para el periodo de Julio de 2019, la participacion en gasto de la Oficina de Gestión Contractual fue de 2,71% respecto al total de los gastos de la ELC</t>
  </si>
  <si>
    <t>Para el periodo de Agosto de 2019, la participacion en gasto de la Oficina de Gestión Contractual fue de 1,72% respecto al total de los gastos de la ELC</t>
  </si>
  <si>
    <t>Para el periodo de Septiembre de 2019, la participacion en gasto de la Oficina de Gestión Contractual fue de 1,20% respecto al total de los gastos de la ELC</t>
  </si>
  <si>
    <t>12.1.2.</t>
  </si>
  <si>
    <t>Procesos contractuales.</t>
  </si>
  <si>
    <t>Medir el nivel de cumplimiento de los procesos solicitados. (Compra)</t>
  </si>
  <si>
    <t>No. procesos realizados /No. Procesos solicitados.</t>
  </si>
  <si>
    <t>70-100%</t>
  </si>
  <si>
    <t>12.1.3.</t>
  </si>
  <si>
    <t>Medir el nivel de cumplimiento de los procesos solicitados. (Venta)</t>
  </si>
  <si>
    <t>12.1.4.</t>
  </si>
  <si>
    <t>Procesos contractuales Reportados (SIA Contraloria)</t>
  </si>
  <si>
    <t>Medir el nivel de cumplimiento de los procesos elaborados en la plataforma Sia Contraloria</t>
  </si>
  <si>
    <t>No. procesos realizados /No. Procesos Reportados.</t>
  </si>
  <si>
    <t>En el mes de enero se elaboraron  101 contratos, entre contratos marco, convenios y órdenes de compra, ordenes de servicio y adiciones, de los cuales 101 fueron reportados en el portal SIA contraloría.</t>
  </si>
  <si>
    <t>En el mes de febrero se elaboraron  108 contratos, entre contratos marco, convenios y órdenes de compra, ordenes de servicio y adiciones, de los cuales 108 fueron reportados en el portal SIA contraloría.</t>
  </si>
  <si>
    <t>En el mes de marzo se elaboraron  108 contratos, entre contratos marco, convenios y órdenes de compra, ordenes de servicio y adiciones, de los cuales 60 fueron reportados en el portal SIA contraloría.</t>
  </si>
  <si>
    <t>En el mes de abril se elaboraron  31 contratos, entre contratos marco, convenios y órdenes de compra, ordenes de servicio y adiciones, de los cuales 31 fueron reportados en el portal SIA contraloría.</t>
  </si>
  <si>
    <t>En el mes de mayo se elaboraron  59 contratos, entre contratos marco, convenios y órdenes de compra, ordenes de servicio y adiciones, de los cuales 101 fueron reportados en el portal SIA contraloría.</t>
  </si>
  <si>
    <t>En el mes de junio se elaboraron  59 contratos, entre contratos marco, convenios y órdenes de compra, ordenes de servicio y adiciones, de los cuales 93 fueron reportados en el portal SIA contraloría.</t>
  </si>
  <si>
    <t>En el mes de julio se elaboraron  17 contratos, entre contratos marco, cesiones y órdenes de compra, ordenes de servicio y adiciones, de los cuales 17 fueron reportados en el portal SIA Contraloría.</t>
  </si>
  <si>
    <t>En el mes de agosto se elaboraron  14 contratos, entre contratos marco, cesiones y órdenes de compra, ordenes de servicio y adiciones, de los cuales 14 fueron reportados en el portal SIA Contraloría.</t>
  </si>
  <si>
    <t>En el mes de septiembre se elaboraron  47 contratos, entre contratos marco, cesiones y órdenes de compra, ordenes de servicio y adiciones, de los cuales 47 fueron reportados en el portal SIA Contraloría.</t>
  </si>
  <si>
    <r>
      <t xml:space="preserve">De acuerdo con el reporte se obtiene </t>
    </r>
    <r>
      <rPr>
        <sz val="12"/>
        <color rgb="FF00B050"/>
        <rFont val="Arial"/>
        <family val="2"/>
      </rPr>
      <t>resultados favorables</t>
    </r>
    <r>
      <rPr>
        <sz val="12"/>
        <color rgb="FF000000"/>
        <rFont val="Arial"/>
        <family val="2"/>
      </rPr>
      <t xml:space="preserve"> para el indicador Procesos contractuales Reportados (SIA Contraloría), sin embargo se sugiere nuevamente plantear indicadores que apunten a la eficiencia de la gestión.</t>
    </r>
  </si>
  <si>
    <t>13.</t>
  </si>
  <si>
    <t>GESTIÓN AMBIENTAL.</t>
  </si>
  <si>
    <t>Control Ambiental.</t>
  </si>
  <si>
    <t>13.1.1.</t>
  </si>
  <si>
    <t>Consumo de Agua.</t>
  </si>
  <si>
    <t>Disminuir el consumo de agua entre dos periodos comparables, con el fin de determinar el uso racional del recurso.</t>
  </si>
  <si>
    <t>Consumo de Agua en m3 en el año 2 - consumo de agua en el año1 .</t>
  </si>
  <si>
    <t>m^3.</t>
  </si>
  <si>
    <t xml:space="preserve">Con respecto al consumo de agua entre enero de 2019 y enero 2018, se  evidencia que  hubo un incrementó para el año 2, debido a la operación de la nueva planta desmineralizadora de agua y a las activiades de aseo y limpieza requeridas para la nueva certificación del proceso de rones. </t>
  </si>
  <si>
    <t xml:space="preserve">Con respecto al consumo de agua entre febrero de 2019 y febrero 2018, se  evidencia que  hubo un incrementó para el año 2, debido a la operación de la nueva planta desmineralizadora de agua y a las activiades de aseo y limpieza requeridas para la nueva certificación del proceso de rones. </t>
  </si>
  <si>
    <t xml:space="preserve">Con respecto al consumo de agua entre el mes de marzo de 2019 y marzo de 2018, se  evidencia que  hubo un incrementó para el año 2, debido a que hubo una mayor producción qu el año 1 y adicionalmente por la operación de la planta desmineralizadora de agua. </t>
  </si>
  <si>
    <t xml:space="preserve">Con respecto al consumo de agua entre el mes de abril de 2019 y abril  de 2018, se  evidencia que  hubo un incrementó para el año 2, debido a que hubo una mayor producción que en el año 1 y adicionalmente por la operación de la planta desmineralizadora de agua. </t>
  </si>
  <si>
    <t xml:space="preserve">Con respecto al consumo de agua entre el mes de mayo de 2019 y mayo de 2018, se  evidencia que  hubo una disminución para el año 2, debido a que la producción disminuyó   para este último año. </t>
  </si>
  <si>
    <t xml:space="preserve">Con respecto al consumo de agua entre el mes de junio de 2019 y junio de 2018, se  evidencia que  hubo una disminución para el año 2, debido a que la producción disminuyó para este último año. </t>
  </si>
  <si>
    <t>Con respecto al consumo de agua comparando el mes de julio de 2019 y julio  de 2018, se  evidencia que  hubo una disminución para el año 2, debido a que hubo una menor producción que en el año 1. La producción se disminuyo en aproximadamente un 86%</t>
  </si>
  <si>
    <t>Con respecto al consumo de agua comparando el mes de agosto de 2019 y agosto  de 2018, se  evidencia que  hubo una disminución para el año 2, debido a que hubo una menor producción que en el año 1. La producción se disminuyo en aproximadamente un 43%</t>
  </si>
  <si>
    <t>Con respecto al consumo de agua entre el mes de septiembre de 2019 y septiembre  de 2018, se  evidencia que  hubo un aumento para el año 2, debido a que hubo una mayor producción que en el año 1. La producción se aumento en aproximadamente un 240%</t>
  </si>
  <si>
    <t>Frente al historico disminución del 5% anual.</t>
  </si>
  <si>
    <r>
      <t xml:space="preserve">De acuerdo con los resultados obtenidos y frente a la meta establecida, se visualiza que el indicador se encuentra en desviación, por tanto se sugiere generar las </t>
    </r>
    <r>
      <rPr>
        <sz val="12"/>
        <color rgb="FFFF0000"/>
        <rFont val="Arial"/>
        <family val="2"/>
      </rPr>
      <t>acciones correctivas</t>
    </r>
    <r>
      <rPr>
        <sz val="12"/>
        <color rgb="FF000000"/>
        <rFont val="Arial"/>
        <family val="2"/>
      </rPr>
      <t xml:space="preserve"> correspondientes.</t>
    </r>
  </si>
  <si>
    <t>13.1.2.</t>
  </si>
  <si>
    <t>Cantidad de Vertimientos industriales Generados mensualmente.</t>
  </si>
  <si>
    <t>Medir  la cantidad de vertimiento industrial , con el fin de determinar el efluente generado en el proceso productivo.</t>
  </si>
  <si>
    <t>Cantidad de vertimiento dispuesto en litros / Número de  unidades  producidas en el periodo.</t>
  </si>
  <si>
    <t xml:space="preserve">De acuerdo  al resultado obtenido se concluye que  para el mes de enero no hubo entrega del efluente industrial. </t>
  </si>
  <si>
    <t xml:space="preserve">De acuerdo  al resultado obtenido se concluye que  para el mes de febrero por cada unidad producida se generó 0,062 litros de agua residual industrial. </t>
  </si>
  <si>
    <t xml:space="preserve">De acuerdo  al resultado obtenido se concluye que  para el mes de marzo por cada unidad producida se generó 0,030 litros de agua residual industrial. </t>
  </si>
  <si>
    <t xml:space="preserve">De acuerdo  al resultado obtenido se concluye que  para el mes de abril  por cada unidad producida se generó 0,024 litros de agua residual industrial. </t>
  </si>
  <si>
    <t xml:space="preserve">De acuerdo  al resultado obtenido se concluye que  para el mes de mayo  por cada unidad producida se generó 0,061 litros de agua residual industrial. </t>
  </si>
  <si>
    <t xml:space="preserve">De acuerdo  al resultado obtenido se concluye que  para el mes de junio  por cada unidad producida se generó 0,129 litros de agua residual industrial, debido a la operación de la planta desmineralzadora de agua. </t>
  </si>
  <si>
    <t xml:space="preserve">De acuerdo  al resultado obtenido se concluye que  para el mes de julio  por cada unidad producida se generó 0,348 litros de agua residual industrial, debido a la operación de la planta desmineralzadora de agua. </t>
  </si>
  <si>
    <t xml:space="preserve">De acuerdo  al resultado obtenido se concluye que  para el mes de Agosto  por cada unidad producida se generó 0,076 litros de agua residual industrial. </t>
  </si>
  <si>
    <t xml:space="preserve">De acuerdo  al resultado obtenido se concluye que  para el mes de septiembre  por cada unidad producida se generó 0,023 litros de agua residual industrial. </t>
  </si>
  <si>
    <t>13.1.3.</t>
  </si>
  <si>
    <t>Residuos ordinarios generados mensualmente.</t>
  </si>
  <si>
    <t>Reducir la generación de residuos ordinarios gneerados en el periodo actual - m^3 de residuos ordinarios gneerados en el periodo anterior.</t>
  </si>
  <si>
    <t>Kg de Residuos aprovechables generados en el periodo actual - Kg de residuos aprovechables  generados en el periodo anterior.</t>
  </si>
  <si>
    <t xml:space="preserve">De acuerdo al resultado obtenido se evidencia que en el  mes de enero hubo un incremento en la generación de los residuos aprovechables, dado a que la producción del mes de diciembre de 2018 fue hasta el día 21, mientras que para el mes de enero ésta se realizó durante todo el mes. </t>
  </si>
  <si>
    <t>De acuerdo al resultado obtenido se evidencia que en el  mes de febrero hubo una reducción en la generación de los residuos, lo que indica que hubo una mayor eficiencia en los procesos.</t>
  </si>
  <si>
    <t xml:space="preserve">De acuerdo al resultado obtenido se evidencia que para el  mes marzo se presento una reducción en la generación de los residuos aprovechables, lo que indica una eficiencia en los procesos productivos. </t>
  </si>
  <si>
    <t>De acuerdo al resultado obtenido se evidencia que para el  mes abril se presento un incremento en la generación de los residuos aprovechables, debido a la producción efectuada durante el periodo.</t>
  </si>
  <si>
    <t>De acuerdo al resultado obtenido se evidencia que para el  mes mayo no hubo entrega de residuos aprovechables.</t>
  </si>
  <si>
    <t>De acuerdo al resultado obtenido se evidencia que para el  mes junio se presentó generación de residuos aprovechables.</t>
  </si>
  <si>
    <t>De acuerdo al resultado obtenido, para el mes de julio se presentó mayor generación de residuos aprovechables debido a las pruebas de nueva maquinaria y pruebas de insumos de las nuevas presentaciones.</t>
  </si>
  <si>
    <t>De acuerdo al resultado obtenido, para el mes de agosto se evidencia que la cantidad de residuos aprovechables disminuyó debido a la estabilizaron las nuevas maquinas y las nuevas presentaciones.</t>
  </si>
  <si>
    <t>De acuerdo al resultado obtenido se evidencia que para el  mes septiembre se presento un incremento en la generación de los residuos aprovechables, debido a la producción efectuada durante el periodo, se envasaron 1.762.200 unidades más que en el anterior mes.</t>
  </si>
  <si>
    <t>Frente al historico disminución del 1% anual.</t>
  </si>
  <si>
    <t>No se logra efectuar mediciones, lo anterior teniendo en cuenta que el objetivo apunta a reducción y la meta a incremento.</t>
  </si>
  <si>
    <t>13.1.4.</t>
  </si>
  <si>
    <t>Residuos Peligrosos generados mensualmente.</t>
  </si>
  <si>
    <t>Reducir la generación de residuos peligrosos, con respecto al periodo anterior.</t>
  </si>
  <si>
    <t>Kg de Residuos Peligrosos generados en el periodo actual - Kg de residuos peligrosos generados en el periodo anterior.</t>
  </si>
  <si>
    <t>Kg.</t>
  </si>
  <si>
    <t>De acuerdo al resultado obtenido se evidencia que en el  mes de enero hubo un incremento en la generación de los residuos peligrosos, lo cual obedece a los mantenimientos realizados a las lineas de producción durante el mes de enero de 2019.</t>
  </si>
  <si>
    <t>De acuerdo al resultado obtenido se evidencia que en el  mes de febrero  hubo reducción en la generación de los residuos peligrosos, esto debido a los seguimientos que se han efectuado en los diferentes procesos en planta.</t>
  </si>
  <si>
    <t>De acuerdo al resultado obtenido se evidencia que en el  mes de marzo se incremento la generación de los residuos peligrosos, debido a la producción de ron efectuada durante este mes.</t>
  </si>
  <si>
    <t>De acuerdo al resultado obtenido se evidencia que en el  mes de abril  hubo  una reducción en la generación de los residuos peligrosos, esto debido a los seguimientos que se han efectuado en los diferentes procesos en planta.</t>
  </si>
  <si>
    <t>De acuerdo al resultado obtenido se evidencia que en el  mes de mayo hubo  una reducción en la generación de los residuos peligrosos, esto debido a los seguimientos que se han efectuado en los diferentes procesos en planta.</t>
  </si>
  <si>
    <t>De acuerdo al resultado obtenido se evidencia que en el  mes de junio se incremento la generación de los residuos peligrosos, debido a la producción de ron efectuada durante este mes.</t>
  </si>
  <si>
    <t>De acuerdo al resultado obtenido se evidencia que en el  mes de julio, se incremento el valor de los residuos peligrosos debido al cambio de maquinaria y presentación de los productos (cambio en los insumos).</t>
  </si>
  <si>
    <t>La generación de este tipo de residuos disminuyó porque ya se estabilizaron las nuevas maquinas y las nuevas presentaciones.</t>
  </si>
  <si>
    <t>De acuerdo al resultado obtenido se evidencia que para el  mes septiembre se presentó un incremento en la generación de los residuos peligrosos, debido a la producción efectuada durante el periodo, se envasaron 1.762.200 unidades más que en el anterior mes.</t>
  </si>
  <si>
    <t>PROCESOS DE EVALUACION Y CONTROL.</t>
  </si>
  <si>
    <t>14.</t>
  </si>
  <si>
    <t>CONTROL INTERNO.</t>
  </si>
  <si>
    <t>14.1.</t>
  </si>
  <si>
    <t>Evaluación del Control Interno.</t>
  </si>
  <si>
    <t>14.1.1.</t>
  </si>
  <si>
    <t>Indice de costos / gastos para la dependencia de Control Interno.</t>
  </si>
  <si>
    <t>Determinar el grado de eficiencia con que se emplean los recursos(costos/ gastos incurridos), en la Oficina de Control Interno.</t>
  </si>
  <si>
    <t>((Costos y/o gastos totales incurridos por la Oficina de Control Interno  / Costos y/o gastos totales incurridos por la ELC)*100).</t>
  </si>
  <si>
    <t>Oficina de Control Interno.</t>
  </si>
  <si>
    <t>El 1,08% del total de los gastos incurridos por la Empresa de Licores de Cundinamarca en el mes de enero de 2019 corresponden a costos y gastos generados por parte de la Oficina deControl Interno.</t>
  </si>
  <si>
    <t>El 2,27% del total de los gastos incurridos por la Empresa de Licores de Cundinamarca en el mes de febrero de 2019 corresponden a costos y gastos generados por parte de la Oficina deControl Interno.</t>
  </si>
  <si>
    <t>El 1,90% del total de los gastos incurridos por la Empresa de Licores de Cundinamarca en el mes de marzo de 2019 corresponden a costos y gastos generados por parte de la Oficina deControl Interno.</t>
  </si>
  <si>
    <t xml:space="preserve">Para abril del 2019, la participacion del gasto de la oficina de Control Interno fue de 2,37% respecto al total de los gastos de la ELC </t>
  </si>
  <si>
    <t xml:space="preserve">Para mayo del 2019, la participación del gasto de la oficina de Control Interno fue de 1,48% respecto al total de los gastos de la E.L.C. </t>
  </si>
  <si>
    <t xml:space="preserve">Para junio del 2019, la participacion del gasto de la oficina de Control Interno fue de 1,24% respecto al total de los gastos de la E.L.C. </t>
  </si>
  <si>
    <t xml:space="preserve">Para julio del 2019, la participacion del gasto de la oficina de Control Interno fue de 1,84% respecto al total de los gastos de la E.L.C. </t>
  </si>
  <si>
    <t xml:space="preserve">Para agosto del 2019, la participacion del gasto de la oficina de Control Interno fue de 1,28% respecto al total de los gastos de la E.L.C. </t>
  </si>
  <si>
    <t xml:space="preserve">Para septiembre del 2019, la participacion del gasto de la oficina de Control Interno fue de 1,14% respecto al total de los gastos de la E.L.C. </t>
  </si>
  <si>
    <t>Disminución en un 5% anual.</t>
  </si>
  <si>
    <t>14.1.2.</t>
  </si>
  <si>
    <t>Nivel de Cumplimiento de las Auditorías Programadas.</t>
  </si>
  <si>
    <t>Medir porcentualmente el nivel de cumplimiento de las auditorías programadas.</t>
  </si>
  <si>
    <t>((Auditorías Realizadas / Auditorías Programadas) * 100).</t>
  </si>
  <si>
    <t>Se efectua medición anual, pero se reporta trimestralmente  a la Oficina Asesora de Planeación y Sistemas de Información.</t>
  </si>
  <si>
    <t>No aplica. 
Se realiza información trimestral</t>
  </si>
  <si>
    <t>No aplica.
Se realiza información trimestral</t>
  </si>
  <si>
    <t>Teniendo en cuenta el plan anual de auditorías vigencia 2019, aprobado con fecha 21 de febrero de 2019, Se realizarán 6 auditorias (a los macroprocesos). 
En el primer trimestre no se realiza ninguna auditoría, contemplada en el plan anual de auditorias 2019.</t>
  </si>
  <si>
    <t>En el periodo evaluado se realiza la apertura de tres (03) Auditorias correspondientes a los siguientes procesos: 
1) Proceso Direccionamiento Estrategico.
2) Proceso Gestión de Producción.
3) Proceso Gestión Financiera.</t>
  </si>
  <si>
    <t xml:space="preserve">En el periodo evaluado se realiza la apertura de Auditorias al procesos de Gestion Financiera.
</t>
  </si>
  <si>
    <t>Se realiza cierre y entrega de informes de tres (03) auditorias realizadas correspondientes a los siguientes procesos: 
1) Proceso Direccionamiento Estrategico.
2) Proceso Gestión de Producción.
3) Proceso Gestión Financiera.</t>
  </si>
  <si>
    <t xml:space="preserve">En el periodo evaluado se realiza la apertura de Auditorias al procesos de Gestion de Talento Humano.
</t>
  </si>
  <si>
    <t xml:space="preserve">En el periodo evaluado se realiza la apertura de Auditorias al procesos de Gestion Comercial. </t>
  </si>
  <si>
    <t xml:space="preserve">Se realiza cierre y entrega de informe de dos (02) Auditorias realizadas  correspondientes a los siguientes procesos: 
1) Proceso Gestión del Talento Humano;
2) Proceso Gestión Comercial.
</t>
  </si>
  <si>
    <t xml:space="preserve">100%
(7 Auditorias realizadas/ 7 auditorias programadas) </t>
  </si>
  <si>
    <t xml:space="preserve">100%
Cumplimiento de plan Anual de auditoria
(10 Auditorias en la Vigencia) </t>
  </si>
  <si>
    <r>
      <t xml:space="preserve">De acuerdo con los resultados obtenidos, se visualiza gestión </t>
    </r>
    <r>
      <rPr>
        <sz val="12"/>
        <color rgb="FF00B050"/>
        <rFont val="Arial"/>
        <family val="2"/>
      </rPr>
      <t>favorable</t>
    </r>
    <r>
      <rPr>
        <sz val="12"/>
        <color rgb="FF000000"/>
        <rFont val="Arial"/>
        <family val="2"/>
      </rPr>
      <t>.</t>
    </r>
  </si>
  <si>
    <t>14.1.3.</t>
  </si>
  <si>
    <t>Seguimiento al Mapa de Riesgos.</t>
  </si>
  <si>
    <t>Medir porcentualmente el seguimiento a los mapas de riesgos por procesos de las dependencias de la ELC.</t>
  </si>
  <si>
    <t>(( Número de Seguimientos Realizados / Número de Dependencias de la ELC) * 100).</t>
  </si>
  <si>
    <t>No aplica 
Se realiza información Trimestral</t>
  </si>
  <si>
    <t xml:space="preserve">Se realiza retroalimentación a la calificación realizada por parte de la Oficna de Control Interno, para el cuarto trimestre de 2018 a las dependencias.  Se espera de la Oficina Asesora de Planeación y Sistemas de Información, recibir el mapa de riesgos para el respectivo seguimiento primer trimestre de 2019.  </t>
  </si>
  <si>
    <t>N/A. No aplica. Se realiza informacion semestral.</t>
  </si>
  <si>
    <t xml:space="preserve">En espera de evaluación del mapa de riesgos por parte de las dependencias de la E.L.C. 
Pendiente de entrega de información consolidada por parte de la Oficina Asesora de Planeación y Sistemas de Información, pára realizar el respectivo seguimiento. </t>
  </si>
  <si>
    <t>Se recibe información consolidada  por parte de la Oficina Asesora de Planeación y Sistemas de Información.
Se inicia primer seguimiento por dependencias  al mapa de riesgos institucional, así:
1) Subgerencia Comercial;
2) Subgerencia Financiera;
2) Subgerencia Técnica;
4) Oficina Asesora Jurídica;
5) Subgerencia Talento Humano;
6) Subgerencia Administrativa.</t>
  </si>
  <si>
    <t>Se continua  primer seguimiento por dependencias  al mapa de riesgos institucional, así:
1) Oficina de Control interno Disciplinario;
2) Oficina Asesora de Planeación y Sistemas de Información;
3) Oficina Gestion contractual y Gerencia; General, no cuentan con riesgos identificados en mapa de riesgos institucional.</t>
  </si>
  <si>
    <t xml:space="preserve">0%
No se cuenta con linea base, teniendo en cuenta que la ultima calificación realizada al Mapa de Riesgos  institucional fue en Agosto 2017 y que este se encuentra en construccion por cambio de Sede a Cota. </t>
  </si>
  <si>
    <t xml:space="preserve">100% 
4 Evaluaciones realizadas al mapa de riesgos </t>
  </si>
  <si>
    <t>Reporte Semestral.</t>
  </si>
  <si>
    <t>14.1.4.</t>
  </si>
  <si>
    <t>Seguimiento al Plan de mejora continua.</t>
  </si>
  <si>
    <t>Medir porcentualmente el seguimiento al plan de mejora continua por procesos de las dependencias de la ELC.</t>
  </si>
  <si>
    <t>No aplicación medición anual.</t>
  </si>
  <si>
    <t>Se realizó evaluacion por dependencias para el cuarto trimestre de 2018. Se hizó la respectiva retroalimentación de la calificación y orientaciones pertinentes a mejorar, para cada una de las subgerencias y oficinas evaluadas. Se citó por medio de correo eléctronico las mesas de trabajo para retroalimentación y se envió el cronograma respectivo.</t>
  </si>
  <si>
    <t>N/A. Información anual. Vigencia 2018, cumplida en su totalidad.</t>
  </si>
  <si>
    <t>Reporte Anual.</t>
  </si>
  <si>
    <t>100%
Se realiza seguimiento a Plan de mejora continua por dependencias 2017.</t>
  </si>
  <si>
    <t>100% 
Seguimientos realizados a todos planes de mejoramiento en ejecusion</t>
  </si>
  <si>
    <t>14.1.5.</t>
  </si>
  <si>
    <t>Acompañamientos y solicitudes a nivel directivo.</t>
  </si>
  <si>
    <t>Brindar el acompañamiento solicitado por parte de las dependencias, garantizando la transparencia en los procesos, procedimientos y temas relacionados con la gestión de la Empresa de Licores de Cundinamarca.</t>
  </si>
  <si>
    <t xml:space="preserve">((Número de acompañamientos realizados/Número de acompañamientos solicitados en la vigencia) * 100). </t>
  </si>
  <si>
    <t>Se realizaron los acompañamientos y solicitudes realizadas por parte de las subgerencias y oficinas. Se lleva una carpeta con los soportes de los respectivos acompañamientos.</t>
  </si>
  <si>
    <t>Se dio cumplimiento al indicador, haciendo presencia y apoyo en los acompañamientos solicitados por parte de las subgerencias y oficinas durante el periodo mensual. Se lleva una carpeta con los soportes de los respectivos acompañamientos.</t>
  </si>
  <si>
    <t>Se evidencia por medio de archivo físico, los acompañamientos realizados durante el trimestre. Dando cumplimiento al 100% de las solicitudes realizadas, por las respectivas subgerencias y oficinas.</t>
  </si>
  <si>
    <t>Se realiza acompañamiento a los procesos de Invitacion abierta No. 006 y 007 solicitados por parte de la oficinas de Gestión Contractual. 
Asi mismo se realiza acompañamiento a Comites y mesas de trabajo solicitadas por las areas de Subgerencia Financiera y Subgerencia Administrativa. 
Se lleva una carpeta con los soportes de los respectivos acompañamientos.</t>
  </si>
  <si>
    <t>Se realiza acompañamiento a los procesos de Invitacion abierta No. 008 y a la invitacion cerrada No. 002 solicitados por parte de la oficinas de Gestión Contractual. 
Se lleva una carpeta con los soportes de los respectivos acompañamientos.</t>
  </si>
  <si>
    <t>Se realiza acompañamiento al proceso de Invitacion abierta No. 010 solicitado por parte de la oficinas de Gestión Contractual. 
Se lleva una carpeta con los soportes de los respectivos acompañamientos.</t>
  </si>
  <si>
    <t>No se reciben solicitudes de acompañamiento en el periodo evaluado. (Julio 2019)
Se actualiza el procedimiento MPC0101000000.P04-2 PROCEDIMIENTO SOLICITUD DE ACOMPAÑAMIENTOS Y /O ASESORIAS y el formato planilla MPC0101000000.F10 -1 PLANILLA DE REGISTRO DE ACOMPAÑAMIENTO, ASESORIAS Y REVISIÓN.</t>
  </si>
  <si>
    <t>Se realizan cinco (5) acompañamientos solicitados, así:
- Proceso Gestión Ambiental;
- Acompañamiento Calificadora de riesgos BRC &amp; POOR;
- Apertura Invitación abierta No. 011 solicitado por parte de la oficina de Gestión Contractual; 
- Cierre de invitación Abierta No. 011; 
- Visita Gestion ambiental - vertimientos de aguas. 
Se lleva una carpeta con los soportes de los respectivos acompañamientos.</t>
  </si>
  <si>
    <t>Se realizan diez  (10) acompañamientos solicitados, así:
-  Apertura Invitación abierta No. 012 solicitado por parte de la oficinas de Gestión Contractual; 
- Cierre de invitación Abierta No. 012;
- Acompañamiento de observacion bajas vehiculos para subasta pública(2 acompañamientos);
- Acompañamiento cargue Aguardiente Superior(6 acompañamiento).
Se lleva una carpeta con los soportes de los respectivos acompañamientos.</t>
  </si>
  <si>
    <t>100% 
Acompañar el total de las solicitudes recibidas</t>
  </si>
  <si>
    <t>14.1.6.</t>
  </si>
  <si>
    <t>Informes entes de control, inspección y vigilancia.</t>
  </si>
  <si>
    <t xml:space="preserve">Controlar que los responsables de rendir informes a los entes de control, inspección y vigilancia lo efectuen oportunamente con respecto a los terminos establecidos por los mismos. </t>
  </si>
  <si>
    <t>((Informes rendidos oportunamente / Total de informes por rendir)*100).</t>
  </si>
  <si>
    <t>Mensual, Trimestral y Anual.</t>
  </si>
  <si>
    <t xml:space="preserve">Se actualiza el listado Maestro de informes, se realiza seguimiento garantizando la presentación oportuna de los informes de la ELC, se brinda el apoyo a las subgerencias y oficinas, con el objetivo de garantizar el cumplimiento y evitar sanciones por la no presentación de los respectivos informes e impuestos. Este control se encuentra soportado con archivo magnetico en formato de trabajo de la OCI.
En la vigencia se realizó envio de 10 informes en la entidad, y se revisa el envio según listado maestro elaborado. </t>
  </si>
  <si>
    <t>Se garantiza por medio del control diario, el cumplimiento de la entrega a cargo de las respectivas subgerencias y oficinas, según listado maestro de informes. Dando cumplimiento al indicador. Se puede evidenciar en archivo magnético de control, con sus respectivas fechas de elaboración.</t>
  </si>
  <si>
    <t>Al finalizar el trimestre, se evidencia el cumplimiento del indicador con el respectivo archivo magnético de la oficina, donde se relaciona de manera diaria y con fecha los informes internos y externos a rendir y posterior a su realizacion, se hace la respectiva verificación ocular con visitas a las subgerencias y oficinas, donde se informa, y pregunta el estado de cada informe.</t>
  </si>
  <si>
    <t xml:space="preserve">Se garantiza por medio del control diario, el cumplimiento de la entrega a cargo de las respectivas subgerencias y oficinas, según listado maestro de informes.
Por parte de OCI se realiza la entrega oportuna de los siguientes informes: 
1. Informe Austeridad en el gasto (Abril)
</t>
  </si>
  <si>
    <t xml:space="preserve">Se garantiza por medio del control diario, el cumplimiento de la entrega a cargo de las respectivas subgerencias y oficinas, según listado maestro de informe
Por parte de OCI se realiza la entrega oportuna de los siguientes informes: 
1. Seguimiento Plan Anticorrupción (Mayo) 
</t>
  </si>
  <si>
    <t>Se garantiza por medio del control diario, el cumplimiento de la entrega a cargo de las respectivas subgerencias y oficinas, según listado maestro de informe
Por parte de OCI se realiza la entrega oportuna de los siguientes informes: 
1.  Informe de Avance Plan de Mejoramiento
Auditorias Externas (Junio)</t>
  </si>
  <si>
    <t xml:space="preserve">Con relación a informes de otras dependencias, en el periodo evaluado se realizan alertas semanales para envío de informes y revisión posterior a la entrega del informe en físico. 
Por parte de la OCI se realiza la entrega oportuna de los siguientes informes: 
1.  Informe pormenorizado de Control interno (Julio); 
2.  Informe sobre las quejas, sugerencias y reclamos. (Julio);
3. Informe de Avance Plan de Mejoramiento Auditorías Externas (Julio).
</t>
  </si>
  <si>
    <t xml:space="preserve">Con relación a informes de otras dependencias, en el periodo evaluado se realizan alertas semanales para envío de informes y revisión posterior a la entrega del informe en físico. 
Por parte de la OCI se realiza la entrega oportuna de los siguientes informes: 
1. Seguimiento Plan Anticorrupción (Agosto).
</t>
  </si>
  <si>
    <t>No existe programación para entrega de informes por parte de la Oficina de Control interno en el periodo evaluado (Septiembre).</t>
  </si>
  <si>
    <t>100% 
Realizar la entrega oportuna de informes en la ELC</t>
  </si>
  <si>
    <t>15.</t>
  </si>
  <si>
    <t>CONTROL DE CALIDAD.</t>
  </si>
  <si>
    <t>15.1.</t>
  </si>
  <si>
    <t>Control de calidad en aprovisionamiento de materiales.</t>
  </si>
  <si>
    <t>15.1.1.</t>
  </si>
  <si>
    <t>Indice de Calidad.</t>
  </si>
  <si>
    <t>Verificar las especificaciones técnicas de los materiales recibidos para garantizar su conformidad antes de uso.</t>
  </si>
  <si>
    <t>Fórmulas generadas por el sistema información SAP, de acuerdo a los resultados obtenidos en las inspecciones y la ponderación que se establece para cada factor. Se revisa con la transacción MCXE.</t>
  </si>
  <si>
    <t xml:space="preserve"> Los materiales recibidos en el período han cumplido, dentro de sus tolerancias, con las especificaciones técnicas establecidas.</t>
  </si>
  <si>
    <t>Este indice de calidad se vió afectado por un lote de inspección de un insumo que presentó variaciones en una de las variables pero que no impide su uso en el proceso productivo.</t>
  </si>
  <si>
    <t>Los materiales recibidos en el período han cumplido, dentro de sus tolerancias, con las especificaciones técnicas establecidas.</t>
  </si>
  <si>
    <t>Los materiales recibidos en el período han cumplido, dentro de sus tolerancias, con las especificaciones técnicas establecidas. Se recibieron materiales como alcohol extraneutro, caramelo, tapas de seguridad, copa, envases de vidrio y tetra brik.</t>
  </si>
  <si>
    <t xml:space="preserve"> Los materiales recibidos en el período han cumplido, dentro de sus tolerancias, con las especificaciones técnicas establecidas.  Se recibió alcohol extraneutro, referencias de anis, envases de vidrio y tetra brik, copa, etiquetas y tapas de seguridad.</t>
  </si>
  <si>
    <t xml:space="preserve"> Los materiales recibidos en el período han cumplido, dentro de sus tolerancias, con las especificaciones técnicas establecidas.  Se recibió alcohol extraneutro, etiquetas, envases tetra brik, tapas de seguridad, copa y cajas.</t>
  </si>
  <si>
    <r>
      <t xml:space="preserve">De acuerdo con los resultados reportados se visualiza que frente a la meta los resultados obtenidos son </t>
    </r>
    <r>
      <rPr>
        <sz val="12"/>
        <color rgb="FF00B050"/>
        <rFont val="Arial"/>
        <family val="2"/>
      </rPr>
      <t>favorables</t>
    </r>
    <r>
      <rPr>
        <sz val="12"/>
        <color rgb="FF000000"/>
        <rFont val="Arial"/>
        <family val="2"/>
      </rPr>
      <t>.</t>
    </r>
  </si>
  <si>
    <t>15.1.2.</t>
  </si>
  <si>
    <t>Reclamaciones proveedores.</t>
  </si>
  <si>
    <t>Lograr que los materiales suministrados por los proveedores cumplan con las especificaciones técnicas exigidas por el ELC.</t>
  </si>
  <si>
    <t>Número de reclamaciones a proveedores en el semestre.</t>
  </si>
  <si>
    <t>Número.</t>
  </si>
  <si>
    <t>Semestral .</t>
  </si>
  <si>
    <t>No se reporta</t>
  </si>
  <si>
    <t>Indicador de reporte semestral</t>
  </si>
  <si>
    <r>
      <t>Se presentar</t>
    </r>
    <r>
      <rPr>
        <sz val="12"/>
        <rFont val="Arial"/>
        <family val="2"/>
      </rPr>
      <t>on tres</t>
    </r>
    <r>
      <rPr>
        <sz val="12"/>
        <color rgb="FFFF0000"/>
        <rFont val="Arial"/>
        <family val="2"/>
      </rPr>
      <t xml:space="preserve"> </t>
    </r>
    <r>
      <rPr>
        <sz val="12"/>
        <color rgb="FF000000"/>
        <rFont val="Arial"/>
        <family val="2"/>
      </rPr>
      <t>rechazos y reclamaciones a los proveedores de envases de tetra brik y peldar.</t>
    </r>
  </si>
  <si>
    <t>Se realiza reclamación a proveedores por:
- Embalaje no conforme en caja Club 375ml (aviso No. 200002229)
- Embalaje no conforme en Tapa de Seguridad Ron Santafe. (aviso No. 200002232)
- Embalaje no conforme en Tapa de Seguridad Nectar Club (aviso No. 200002231)</t>
  </si>
  <si>
    <t xml:space="preserve">Se realiza reclamación a proveedores por:
- No conformidad tapas de seg. Club (aviso No. 200002239)
- Solicitud aclaración especificaciones caramelo (aviso No. 200002247)
</t>
  </si>
  <si>
    <t>No se logra efectuar mediciones, lo anterior teniendo en cuenta que no es congruente frente a la meta establecida.</t>
  </si>
  <si>
    <t>15.2.</t>
  </si>
  <si>
    <t>Control de calidad en procesos productivos y productos terminados.</t>
  </si>
  <si>
    <t>15.2.1</t>
  </si>
  <si>
    <t>Indice de calidad del proceso.</t>
  </si>
  <si>
    <t>Controlar los procesos de preparación y envasado de licores para garantizar que se cumpla con las especficaciones técnicas, exigidas por la Empresa de Licores de Cundinamarca.</t>
  </si>
  <si>
    <t>Fórmulas generadas por el sistema información SAP, de acuerdo con los resultados obtenidos en las inspecciones y la ponderación que se establece para cada factor. Se revisa con la transacción MCXE.</t>
  </si>
  <si>
    <t>Este indice de calidad se ve afectado por las no conformidades que se presentan durante el proceso productivo principalmente por problemas de etiquetado, nivel de llenado, sellados en unidades tetra brik, ente otras.</t>
  </si>
  <si>
    <t>Este indice de calidad se ve afectado por las no conformidades que se presentan durante el proceso productivo principalmente por problemas de etiquetado, nivel de llenado, sellados en unidades tetra brik, entre otras.</t>
  </si>
  <si>
    <t>Este indice de calidad se ve afectado por las no conformidades que se presentan durante el proceso productivo principalmente por problemas de etiquetado,fallas en el termoencogible,  nivel de llenado, sellados en unidades tetra brik, sellado cajas WA, ente otras.</t>
  </si>
  <si>
    <t>15.3.</t>
  </si>
  <si>
    <t>15.3.1.</t>
  </si>
  <si>
    <t>Avisos acciones</t>
  </si>
  <si>
    <t>Conocer el número de avisos preventivos, correctivos y de mejora en el periodo reportado para garantizar la mejora continua.</t>
  </si>
  <si>
    <t>Número total de avisos del periodo.</t>
  </si>
  <si>
    <t>Medición Trimestral.</t>
  </si>
  <si>
    <t xml:space="preserve">No se han generado avisos. </t>
  </si>
  <si>
    <t>Se crea en SAP el aviso de calidad de tipo correctivo No. 200002242., que tiene como descripción NOTIFICACIÓN LAB INVIMA.</t>
  </si>
  <si>
    <t>15.3.2.</t>
  </si>
  <si>
    <t>Avisos material no conforme.</t>
  </si>
  <si>
    <t>Conocer el número eventos que ocasionan producto no conforme para minimizarlos.</t>
  </si>
  <si>
    <t>Número de avisos de material no conforme.</t>
  </si>
  <si>
    <t>No se crearon avisos de calidad de producto no conforme en este mes.</t>
  </si>
  <si>
    <r>
      <t xml:space="preserve">De acuerdo con los resultados reportados se evidencia desviación total del indicador Avisos material no conforme, por tanto se requiere generar la pertinente </t>
    </r>
    <r>
      <rPr>
        <sz val="12"/>
        <color rgb="FFFF0000"/>
        <rFont val="Arial"/>
        <family val="2"/>
      </rPr>
      <t>acción correctiva</t>
    </r>
    <r>
      <rPr>
        <sz val="12"/>
        <color rgb="FF000000"/>
        <rFont val="Arial"/>
        <family val="2"/>
      </rPr>
      <t>, lo anterior con el objetivo de obtener el mejoramiento continuo esperado.</t>
    </r>
  </si>
  <si>
    <t>15.4.</t>
  </si>
  <si>
    <t>Control de calidad en ventas.</t>
  </si>
  <si>
    <t>15.4.1.</t>
  </si>
  <si>
    <t>Reclamaciones clientes.</t>
  </si>
  <si>
    <t>Medir el numero de reclamos recibidos en el semestre, con el fin de mitigar las causas de las no conformidades.</t>
  </si>
  <si>
    <t>Número de reclamaciones en el semestre.</t>
  </si>
  <si>
    <t>Durante este semestre se recibieron 93 comunicaciones de Repco donde se manifestaban posibles no conformidades, generalmente, relacionadas con la percepción sensorial.</t>
  </si>
  <si>
    <t>15.5.</t>
  </si>
  <si>
    <t>Control de Instrumentos y equipos de medición.</t>
  </si>
  <si>
    <t>15.5.1.</t>
  </si>
  <si>
    <t>Cumplimiento del Programa de Mantenimiento y/o verificación a Equipos Bajo Control Metrológico.</t>
  </si>
  <si>
    <t>Medir porcentualmente el cumplimiento del programa de mantenimiento y/o verificación de funcionalidad óptima a equipos bajo control metrológico.</t>
  </si>
  <si>
    <t>Cumplimiento del Programa de Mantenimiento y/o verificación a Equipos Bajo Control Metrológico = Número de mantenimientos Ejecutados / Número de Mantenimientos Programados * 100.</t>
  </si>
  <si>
    <t>De acuerdo con los resultados obtenidos en lo que refiere a Cumplimiento del Programa de Mantenimiento y/o verificación a Equipos Bajo Control Metrológico, se infiere que se ejecuta de acuerdo con lo programado por la gestión de metrologia, reportando para el primer semestre del año el 98% de ejecución.</t>
  </si>
  <si>
    <t xml:space="preserve">Gestión de instrumentos y equipos de medición. </t>
  </si>
  <si>
    <t>15.5.2.</t>
  </si>
  <si>
    <t>Nivel de Cumplimiento del Programa de Calibración.</t>
  </si>
  <si>
    <t>Medir porcentualmente el nivel de cumplimiento del programa de calibración.</t>
  </si>
  <si>
    <t>Nivel de Cumplimiento del Programa de Calibración = Número de Calibraciones Ejecutadas / Número de Calibraciones Programadas * 100.</t>
  </si>
  <si>
    <t>De acuerdo con los resultados obtenidos en lo que refiere a Cumplimiento del Programa del Programa de Calibración , se infiere que se ejecuta de acuerdo con lo programado por la gestión de metrologia, reportando para el primer semestre del año el 98% de ejecución.</t>
  </si>
  <si>
    <t>16.</t>
  </si>
  <si>
    <t>CONTROL DISCIPLINARIO.</t>
  </si>
  <si>
    <t>16.1.</t>
  </si>
  <si>
    <t>Proceso Disciplinario.</t>
  </si>
  <si>
    <t>16.1.1.</t>
  </si>
  <si>
    <t>Indice de costos/ gastos para la dependencia de Control Disciplinario Interno.</t>
  </si>
  <si>
    <t>Determinar el grado de eficiencia con que se emplean los recursos(costos / gastos incurridos), en la Oficina de Control Disiciplinario Interno.</t>
  </si>
  <si>
    <t>((Costos y/o gastos totales incurridos por la Oficina de Control  Interno Disciplinario  / Costos y/o gastos totales incurridos por la ELC)*100).</t>
  </si>
  <si>
    <t>Oficina de Control Interno Disciplinario.</t>
  </si>
  <si>
    <t>El 0,67% del total de los gastos incurridos por la Empresa de Licores de Cundinamarca en el mes de enero de 2019 corresponden a costos y gastos generados por parte de la Oficina deControl Disciplinario Interno.</t>
  </si>
  <si>
    <t>El 0,82% del total de los gastos incurridos por la Empresa de Licores de Cundinamarca en el mes de febrero de 2019 corresponden a costos y gastos generados por parte de la Oficina deControl Disciplinario Interno.</t>
  </si>
  <si>
    <t>El 0,36% del total de los gastos incurridos por la Empresa de Licores de Cundinamarca en el mes de marzo de 2019 corresponden a costos y gastos generados por parte de la Oficina deControl Disciplinario Interno.</t>
  </si>
  <si>
    <t xml:space="preserve">Para abril del 2019, la participacion del gasto de la oficina de control interno disciplinario  fue de 0,31% respecto al total de los gastos de la ELC </t>
  </si>
  <si>
    <t xml:space="preserve">Para Mayo del 2019, la participacion del gasto de la oficina de control interno disciplinario  fue de 0,08% respecto al total de los gastos de la ELC </t>
  </si>
  <si>
    <t xml:space="preserve">Para Junio del 2019, la participacion del gasto de la oficina de control interno disciplinario  fue de 0,63% respecto al total de los gastos de la ELC </t>
  </si>
  <si>
    <t xml:space="preserve">Para Julio del 2019, la participacion del gasto de la oficina de control interno disciplinario  fue de 0,98% respecto al total de los gastos de la ELC </t>
  </si>
  <si>
    <t xml:space="preserve">Para Agosto del 2019, la participacion del gasto de la oficina de control interno disciplinario  fue de 0,74% respecto al total de los gastos de la ELC </t>
  </si>
  <si>
    <t xml:space="preserve">Para Septiembre del 2019, la participacion del gasto de la oficina de control interno disciplinario  fue de 0,52% respecto al total de los gastos de la ELC </t>
  </si>
  <si>
    <t>16.1.2.</t>
  </si>
  <si>
    <t>Capacitaciones Ley 734 de 2002, Nuevo Código General Disiciplinario, Reglamento Interno de Trabajo de la Empresa de Licores de Cundinamarca y Estatuto Anticorrupción.</t>
  </si>
  <si>
    <t>Medir el nivel de cumplimiento de las capacitaciones programadas, con el fin de retroalimentar al personal que labora en la Empresa de Licores de Cundinamarca, esto con el objetivo de que los trabajadores conozcan los deberes, obligaciones, derechos, procedimientos y sanciones aplicables a ellos por el incumplimiento de sus funciones.</t>
  </si>
  <si>
    <t>((Capacitaciones Realizadas/Capacitaciones Solicitadas)*100.</t>
  </si>
  <si>
    <t>En el mes de Junio, la Oficina de Control Interno Disciplinario, realizó una capacitación sobre Derecho Disciplinario en  lo concerniente a las faltas graves, gravisimas y leves.</t>
  </si>
  <si>
    <t>16.1.3.</t>
  </si>
  <si>
    <t>Procesos disciplinarios.</t>
  </si>
  <si>
    <t>Investigar determinados comportamientos en los que incurra un trabajador oficial o funcionario público que afecte la función de la Empresa de Licores de Cundinamarca.</t>
  </si>
  <si>
    <t>(( Numero de procesos sustanciados/ nùmero de procesos que cursan en el despacho) *100.</t>
  </si>
  <si>
    <t>Para el mes de Junio  la Oficina de Control Interno Disciplinario realizó tramite a cuatro  expedientes Disciplinarios (EXP.N°001-003 de 2019 y 001-011 de 2018), y encontrándose en el despacho 7 procesos disciplinarios dando archivo definitivo al proceso disciplinario 002 de 2019.</t>
  </si>
  <si>
    <t>16.1.5.</t>
  </si>
  <si>
    <t>Capacitaciones a autoridades.</t>
  </si>
  <si>
    <t>Capacitar a las entidades administrastivas, judiciales y policiales, con el fin de luchar contra la adulteración de Licores, lo cual nos permitira una mayor eficacia en los operativos.</t>
  </si>
  <si>
    <t>((Número de capacitaciones efectuadas  /  Total capacitaciones solicitadas) *100).</t>
  </si>
  <si>
    <t>En el mes de Junio la Oficina de Control Interno Disciplinario efectuó una capacitación a la Secretaría de Salud -Distrito sobre Carácterísiticas Técnicas Autenticidad de Licores de la ELC.</t>
  </si>
  <si>
    <t>GESTIÓN AMBIENTAL</t>
  </si>
  <si>
    <t xml:space="preserve">CONSUMO DE AGUA </t>
  </si>
  <si>
    <t>Resultados Obtenidos</t>
  </si>
  <si>
    <t>CANTIDAD DE VERTIMIENTOS INDUSTRIALES GENERADOS MENSUALMENTE</t>
  </si>
  <si>
    <t>Cantidad de vertimiento dispuesto en litros 2019.</t>
  </si>
  <si>
    <t>Cantidad de vertimiento dispuesto en litros 2018.</t>
  </si>
  <si>
    <t>RESIDUOS APROVECHABLES GENERADOS MENSUALMENTE</t>
  </si>
  <si>
    <t>Periodo Actual.</t>
  </si>
  <si>
    <t>Periodo Anterior.</t>
  </si>
  <si>
    <t>RESIDUOS PELIGROSOS GENERADOS MENSUALMENTE</t>
  </si>
  <si>
    <t xml:space="preserve">ENERO </t>
  </si>
  <si>
    <t xml:space="preserve">FEBRERO </t>
  </si>
  <si>
    <t xml:space="preserve">MARZO </t>
  </si>
  <si>
    <t xml:space="preserve">ABRIL </t>
  </si>
  <si>
    <t xml:space="preserve">AGOSTO </t>
  </si>
  <si>
    <t xml:space="preserve">SEPTIEMBRE </t>
  </si>
  <si>
    <t>&gt; 1,9</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</si>
</sst>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quot;$&quot;\ #,##0.00_);[Red]\(&quot;$&quot;\ #,##0.00\)"/>
    <numFmt numFmtId="165" formatCode="_(* #,##0_);_(* \(#,##0\);_(* &quot;-&quot;_);_(@_)"/>
    <numFmt numFmtId="166" formatCode="_(* #,##0.00_);_(* \(#,##0.00\);_(* &quot;-&quot;??_);_(@_)"/>
    <numFmt numFmtId="167" formatCode="0.0%"/>
    <numFmt numFmtId="168" formatCode="_-* #,##0.0_-;\-* #,##0.0_-;_-* &quot;-&quot;_-;_-@_-"/>
    <numFmt numFmtId="169" formatCode="_-* #,##0.00_-;\-* #,##0.00_-;_-* &quot;-&quot;_-;_-@_-"/>
    <numFmt numFmtId="170" formatCode="0.000%"/>
    <numFmt numFmtId="171" formatCode="0.000"/>
    <numFmt numFmtId="172" formatCode="0.0"/>
  </numFmts>
  <fonts count="26" x14ac:knownFonts="1">
    <font>
      <sz val="11"/>
      <color theme="1"/>
      <name val="Calibri"/>
      <family val="2"/>
      <scheme val="minor"/>
    </font>
    <font>
      <sz val="11"/>
      <color theme="1"/>
      <name val="Calibri"/>
      <family val="2"/>
      <scheme val="minor"/>
    </font>
    <font>
      <sz val="12"/>
      <color rgb="FF000000"/>
      <name val="Arial"/>
      <family val="2"/>
    </font>
    <font>
      <b/>
      <sz val="12"/>
      <color rgb="FF000000"/>
      <name val="Arial"/>
      <family val="2"/>
    </font>
    <font>
      <b/>
      <sz val="12"/>
      <name val="Arial"/>
      <family val="2"/>
    </font>
    <font>
      <sz val="12"/>
      <name val="Arial"/>
      <family val="2"/>
    </font>
    <font>
      <b/>
      <sz val="12"/>
      <color theme="1"/>
      <name val="Arial"/>
      <family val="2"/>
    </font>
    <font>
      <sz val="12"/>
      <color rgb="FFFF0000"/>
      <name val="Arial"/>
      <family val="2"/>
    </font>
    <font>
      <sz val="12"/>
      <color theme="1"/>
      <name val="Arial"/>
      <family val="2"/>
    </font>
    <font>
      <sz val="10"/>
      <name val="Arial"/>
      <family val="2"/>
    </font>
    <font>
      <sz val="12"/>
      <color rgb="FFFFC000"/>
      <name val="Arial"/>
      <family val="2"/>
    </font>
    <font>
      <sz val="12"/>
      <color rgb="FF00B050"/>
      <name val="Arial"/>
      <family val="2"/>
    </font>
    <font>
      <sz val="12"/>
      <color theme="0"/>
      <name val="Arial"/>
      <family val="2"/>
    </font>
    <font>
      <b/>
      <sz val="11"/>
      <name val="Arial"/>
      <family val="2"/>
    </font>
    <font>
      <sz val="12"/>
      <color theme="1"/>
      <name val="Calibri"/>
      <family val="2"/>
      <scheme val="minor"/>
    </font>
    <font>
      <u/>
      <sz val="11"/>
      <color theme="10"/>
      <name val="Calibri"/>
      <family val="2"/>
    </font>
    <font>
      <sz val="14"/>
      <name val="Arial"/>
      <family val="2"/>
    </font>
    <font>
      <sz val="14"/>
      <color theme="1"/>
      <name val="Arial"/>
      <family val="2"/>
    </font>
    <font>
      <sz val="14"/>
      <color rgb="FF000000"/>
      <name val="Arial"/>
      <family val="2"/>
    </font>
    <font>
      <b/>
      <sz val="9"/>
      <color indexed="81"/>
      <name val="Tahoma"/>
      <family val="2"/>
    </font>
    <font>
      <sz val="9"/>
      <color indexed="81"/>
      <name val="Tahoma"/>
      <family val="2"/>
    </font>
    <font>
      <b/>
      <sz val="11"/>
      <color indexed="81"/>
      <name val="Tahoma"/>
      <family val="2"/>
    </font>
    <font>
      <sz val="11"/>
      <color indexed="81"/>
      <name val="Tahoma"/>
      <family val="2"/>
    </font>
    <font>
      <sz val="11"/>
      <color rgb="FFFF0000"/>
      <name val="Calibri"/>
      <family val="2"/>
    </font>
    <font>
      <sz val="11"/>
      <color rgb="FF00B050"/>
      <name val="Calibri"/>
      <family val="2"/>
    </font>
    <font>
      <sz val="11"/>
      <color theme="1"/>
      <name val="Calibri"/>
      <family val="2"/>
    </font>
  </fonts>
  <fills count="20">
    <fill>
      <patternFill patternType="none"/>
    </fill>
    <fill>
      <patternFill patternType="gray125"/>
    </fill>
    <fill>
      <patternFill patternType="solid">
        <fgColor theme="0"/>
        <bgColor indexed="64"/>
      </patternFill>
    </fill>
    <fill>
      <patternFill patternType="solid">
        <fgColor rgb="FFFFFF00"/>
        <bgColor rgb="FFFFFF00"/>
      </patternFill>
    </fill>
    <fill>
      <patternFill patternType="solid">
        <fgColor rgb="FFFFFF00"/>
        <bgColor rgb="FFFF0000"/>
      </patternFill>
    </fill>
    <fill>
      <patternFill patternType="solid">
        <fgColor rgb="FFFFFF00"/>
        <bgColor rgb="FFFFCC00"/>
      </patternFill>
    </fill>
    <fill>
      <patternFill patternType="solid">
        <fgColor rgb="FFFFFF00"/>
        <bgColor rgb="FF008000"/>
      </patternFill>
    </fill>
    <fill>
      <patternFill patternType="solid">
        <fgColor rgb="FFFFFF00"/>
        <bgColor indexed="64"/>
      </patternFill>
    </fill>
    <fill>
      <patternFill patternType="solid">
        <fgColor theme="0"/>
        <bgColor rgb="FFFFFFCC"/>
      </patternFill>
    </fill>
    <fill>
      <patternFill patternType="solid">
        <fgColor theme="0"/>
        <bgColor rgb="FFEAF1DD"/>
      </patternFill>
    </fill>
    <fill>
      <patternFill patternType="solid">
        <fgColor rgb="FF00B050"/>
        <bgColor indexed="64"/>
      </patternFill>
    </fill>
    <fill>
      <patternFill patternType="solid">
        <fgColor rgb="FFFF0000"/>
        <bgColor indexed="64"/>
      </patternFill>
    </fill>
    <fill>
      <patternFill patternType="solid">
        <fgColor theme="0"/>
        <bgColor rgb="FFDBE5F1"/>
      </patternFill>
    </fill>
    <fill>
      <patternFill patternType="solid">
        <fgColor theme="0"/>
        <bgColor rgb="FFFFCC00"/>
      </patternFill>
    </fill>
    <fill>
      <patternFill patternType="solid">
        <fgColor theme="0"/>
        <bgColor rgb="FFCCFFCC"/>
      </patternFill>
    </fill>
    <fill>
      <patternFill patternType="solid">
        <fgColor rgb="FF00B050"/>
        <bgColor rgb="FFCCFFCC"/>
      </patternFill>
    </fill>
    <fill>
      <patternFill patternType="solid">
        <fgColor theme="0"/>
        <bgColor rgb="FFA5A5A5"/>
      </patternFill>
    </fill>
    <fill>
      <patternFill patternType="solid">
        <fgColor rgb="FFFF0000"/>
        <bgColor rgb="FFCCFFCC"/>
      </patternFill>
    </fill>
    <fill>
      <patternFill patternType="solid">
        <fgColor theme="0"/>
        <bgColor rgb="FFFFFFFF"/>
      </patternFill>
    </fill>
    <fill>
      <patternFill patternType="solid">
        <fgColor theme="0"/>
        <bgColor rgb="FF99CC00"/>
      </patternFill>
    </fill>
  </fills>
  <borders count="41">
    <border>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rgb="FF000000"/>
      </left>
      <right style="medium">
        <color rgb="FF000000"/>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9" fillId="0" borderId="0"/>
    <xf numFmtId="0" fontId="9" fillId="0" borderId="0"/>
    <xf numFmtId="0" fontId="15" fillId="0" borderId="0" applyNumberFormat="0" applyFill="0" applyBorder="0" applyAlignment="0" applyProtection="0"/>
  </cellStyleXfs>
  <cellXfs count="448">
    <xf numFmtId="0" fontId="0" fillId="0" borderId="0" xfId="0"/>
    <xf numFmtId="0" fontId="3" fillId="2" borderId="0"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2" xfId="0" applyFont="1" applyFill="1" applyBorder="1" applyAlignment="1">
      <alignment horizontal="center" vertical="center"/>
    </xf>
    <xf numFmtId="0" fontId="6" fillId="8" borderId="4" xfId="0" applyFont="1" applyFill="1" applyBorder="1" applyAlignment="1">
      <alignment horizontal="center" vertical="center" wrapText="1"/>
    </xf>
    <xf numFmtId="0" fontId="7" fillId="8" borderId="4" xfId="0" applyFont="1" applyFill="1" applyBorder="1" applyAlignment="1">
      <alignment horizontal="left" vertical="center" wrapText="1"/>
    </xf>
    <xf numFmtId="0" fontId="6" fillId="8" borderId="4" xfId="0" applyFont="1" applyFill="1" applyBorder="1" applyAlignment="1">
      <alignment vertical="center" wrapText="1"/>
    </xf>
    <xf numFmtId="0" fontId="2" fillId="9" borderId="4" xfId="0" applyFont="1" applyFill="1" applyBorder="1" applyAlignment="1">
      <alignment horizontal="left" vertical="center" wrapText="1"/>
    </xf>
    <xf numFmtId="0" fontId="8" fillId="2" borderId="4" xfId="0" applyFont="1" applyFill="1" applyBorder="1" applyAlignment="1">
      <alignment horizontal="center"/>
    </xf>
    <xf numFmtId="0" fontId="5" fillId="2" borderId="4" xfId="4" applyFont="1" applyFill="1" applyBorder="1" applyAlignment="1">
      <alignment horizontal="left" vertical="center" wrapText="1"/>
    </xf>
    <xf numFmtId="0" fontId="5" fillId="2" borderId="4" xfId="4" applyFont="1" applyFill="1" applyBorder="1" applyAlignment="1">
      <alignment horizontal="center" vertical="center" wrapText="1"/>
    </xf>
    <xf numFmtId="0" fontId="8" fillId="2" borderId="4" xfId="0" applyFont="1" applyFill="1" applyBorder="1" applyAlignment="1">
      <alignment horizontal="center" vertical="center"/>
    </xf>
    <xf numFmtId="10" fontId="8" fillId="2" borderId="13" xfId="3" applyNumberFormat="1" applyFont="1" applyFill="1" applyBorder="1" applyAlignment="1">
      <alignment horizontal="center" vertical="center"/>
    </xf>
    <xf numFmtId="9" fontId="5" fillId="0" borderId="4" xfId="3" applyFont="1" applyFill="1" applyBorder="1" applyAlignment="1">
      <alignment horizontal="center" vertical="center" wrapText="1"/>
    </xf>
    <xf numFmtId="10" fontId="8" fillId="2" borderId="13" xfId="0" applyNumberFormat="1" applyFont="1" applyFill="1" applyBorder="1" applyAlignment="1">
      <alignment horizontal="center" vertical="center"/>
    </xf>
    <xf numFmtId="9" fontId="8" fillId="2" borderId="13" xfId="3" applyFont="1" applyFill="1" applyBorder="1" applyAlignment="1">
      <alignment horizontal="center" vertical="center"/>
    </xf>
    <xf numFmtId="0" fontId="8" fillId="2" borderId="13" xfId="0" applyFont="1" applyFill="1" applyBorder="1" applyAlignment="1">
      <alignment horizontal="center" vertical="center" wrapText="1"/>
    </xf>
    <xf numFmtId="0" fontId="8" fillId="2" borderId="13" xfId="0" applyFont="1" applyFill="1" applyBorder="1"/>
    <xf numFmtId="0" fontId="5" fillId="2" borderId="13" xfId="4" applyFont="1" applyFill="1" applyBorder="1" applyAlignment="1">
      <alignment horizontal="left" vertical="center" wrapText="1"/>
    </xf>
    <xf numFmtId="0" fontId="8" fillId="7" borderId="4" xfId="0" applyFont="1" applyFill="1" applyBorder="1" applyAlignment="1">
      <alignment horizontal="center" vertical="center"/>
    </xf>
    <xf numFmtId="0" fontId="8" fillId="2"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0" fillId="2" borderId="4" xfId="0" applyFont="1" applyFill="1" applyBorder="1" applyAlignment="1">
      <alignment horizontal="center" vertical="center"/>
    </xf>
    <xf numFmtId="0" fontId="5" fillId="2" borderId="4" xfId="4" applyFont="1" applyFill="1" applyBorder="1" applyAlignment="1">
      <alignment horizontal="left" vertical="center"/>
    </xf>
    <xf numFmtId="0" fontId="5" fillId="2" borderId="4" xfId="4" applyFont="1" applyFill="1" applyBorder="1" applyAlignment="1">
      <alignment horizontal="center" vertical="center"/>
    </xf>
    <xf numFmtId="0" fontId="8" fillId="2" borderId="4" xfId="4" applyFont="1" applyFill="1" applyBorder="1" applyAlignment="1">
      <alignment horizontal="center" vertical="center" wrapText="1"/>
    </xf>
    <xf numFmtId="0" fontId="8" fillId="2" borderId="4" xfId="4" applyFont="1" applyFill="1" applyBorder="1" applyAlignment="1">
      <alignment horizontal="center" vertical="center"/>
    </xf>
    <xf numFmtId="9" fontId="8" fillId="2" borderId="4" xfId="0" applyNumberFormat="1" applyFont="1" applyFill="1" applyBorder="1" applyAlignment="1">
      <alignment horizontal="center" vertical="center" wrapText="1"/>
    </xf>
    <xf numFmtId="9" fontId="8" fillId="2" borderId="4" xfId="4" applyNumberFormat="1" applyFont="1" applyFill="1" applyBorder="1" applyAlignment="1">
      <alignment horizontal="center" vertical="center" wrapText="1"/>
    </xf>
    <xf numFmtId="0" fontId="8" fillId="2" borderId="4" xfId="4" applyFont="1" applyFill="1" applyBorder="1" applyAlignment="1">
      <alignment horizontal="left" vertical="center" wrapText="1"/>
    </xf>
    <xf numFmtId="0" fontId="8" fillId="2" borderId="4" xfId="4" applyFont="1" applyFill="1" applyBorder="1" applyAlignment="1">
      <alignment horizontal="justify" vertical="center" wrapText="1"/>
    </xf>
    <xf numFmtId="9" fontId="8" fillId="2" borderId="4" xfId="3" applyFont="1" applyFill="1" applyBorder="1" applyAlignment="1">
      <alignment horizontal="center" vertical="center" wrapText="1"/>
    </xf>
    <xf numFmtId="0" fontId="8" fillId="2" borderId="4" xfId="0" applyFont="1" applyFill="1" applyBorder="1" applyAlignment="1">
      <alignment horizontal="left" vertical="center" wrapText="1"/>
    </xf>
    <xf numFmtId="9" fontId="8" fillId="2" borderId="4" xfId="0" applyNumberFormat="1" applyFont="1" applyFill="1" applyBorder="1" applyAlignment="1">
      <alignment horizontal="center" vertical="center"/>
    </xf>
    <xf numFmtId="0" fontId="8" fillId="10" borderId="4"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1" fillId="2" borderId="4" xfId="0" applyFont="1" applyFill="1" applyBorder="1" applyAlignment="1">
      <alignment horizontal="center" vertical="center"/>
    </xf>
    <xf numFmtId="9" fontId="5" fillId="2" borderId="4" xfId="4" applyNumberFormat="1" applyFont="1" applyFill="1" applyBorder="1" applyAlignment="1">
      <alignment horizontal="center" vertical="center" wrapText="1"/>
    </xf>
    <xf numFmtId="0" fontId="5" fillId="2" borderId="4" xfId="4" applyFont="1" applyFill="1" applyBorder="1" applyAlignment="1">
      <alignment vertical="center" wrapText="1"/>
    </xf>
    <xf numFmtId="9" fontId="8" fillId="2" borderId="4" xfId="3" applyFont="1" applyFill="1" applyBorder="1" applyAlignment="1">
      <alignment horizontal="center" vertical="center"/>
    </xf>
    <xf numFmtId="9" fontId="5" fillId="2" borderId="4" xfId="3" applyFont="1" applyFill="1" applyBorder="1" applyAlignment="1">
      <alignment horizontal="center" vertical="center" wrapText="1"/>
    </xf>
    <xf numFmtId="10" fontId="8" fillId="2" borderId="4" xfId="0" applyNumberFormat="1" applyFont="1" applyFill="1" applyBorder="1" applyAlignment="1">
      <alignment horizontal="center" vertical="center"/>
    </xf>
    <xf numFmtId="0" fontId="7" fillId="11" borderId="4" xfId="0" applyFont="1" applyFill="1" applyBorder="1" applyAlignment="1">
      <alignment horizontal="center" vertical="center"/>
    </xf>
    <xf numFmtId="0" fontId="8" fillId="2" borderId="14" xfId="0" applyFont="1" applyFill="1" applyBorder="1" applyAlignment="1">
      <alignment horizontal="center" vertical="center" wrapText="1"/>
    </xf>
    <xf numFmtId="0" fontId="7" fillId="2" borderId="4" xfId="0" applyFont="1" applyFill="1" applyBorder="1" applyAlignment="1">
      <alignment horizontal="center" vertical="center"/>
    </xf>
    <xf numFmtId="9" fontId="5" fillId="2" borderId="4" xfId="4" applyNumberFormat="1" applyFont="1" applyFill="1" applyBorder="1" applyAlignment="1">
      <alignment horizontal="left" vertical="center" wrapText="1"/>
    </xf>
    <xf numFmtId="0" fontId="7" fillId="12" borderId="4" xfId="0" applyFont="1" applyFill="1" applyBorder="1" applyAlignment="1">
      <alignment horizontal="left" vertical="top" wrapText="1"/>
    </xf>
    <xf numFmtId="9" fontId="5" fillId="2" borderId="4" xfId="4" applyNumberFormat="1" applyFont="1" applyFill="1" applyBorder="1" applyAlignment="1">
      <alignment horizontal="left" vertical="center"/>
    </xf>
    <xf numFmtId="9" fontId="5" fillId="2" borderId="4" xfId="4" applyNumberFormat="1" applyFont="1" applyFill="1" applyBorder="1" applyAlignment="1">
      <alignment horizontal="justify" vertical="center" wrapText="1"/>
    </xf>
    <xf numFmtId="9" fontId="8" fillId="0" borderId="4" xfId="0" applyNumberFormat="1" applyFont="1" applyFill="1" applyBorder="1" applyAlignment="1">
      <alignment horizontal="center" vertical="center" wrapText="1"/>
    </xf>
    <xf numFmtId="0" fontId="8" fillId="0" borderId="4" xfId="0" applyFont="1" applyFill="1" applyBorder="1" applyAlignment="1">
      <alignment horizontal="left" vertical="center" wrapText="1"/>
    </xf>
    <xf numFmtId="0" fontId="12" fillId="2" borderId="4" xfId="0" applyFont="1" applyFill="1" applyBorder="1" applyAlignment="1">
      <alignment horizontal="center" vertical="center" wrapText="1"/>
    </xf>
    <xf numFmtId="0" fontId="12" fillId="10" borderId="4" xfId="0" applyFont="1" applyFill="1" applyBorder="1" applyAlignment="1">
      <alignment horizontal="center" vertical="center" wrapText="1"/>
    </xf>
    <xf numFmtId="9" fontId="5" fillId="2" borderId="4" xfId="0" applyNumberFormat="1" applyFont="1" applyFill="1" applyBorder="1" applyAlignment="1">
      <alignment horizontal="center" vertical="center" wrapText="1"/>
    </xf>
    <xf numFmtId="9" fontId="8" fillId="0" borderId="4" xfId="3" applyFont="1" applyFill="1" applyBorder="1" applyAlignment="1">
      <alignment horizontal="center" vertical="center"/>
    </xf>
    <xf numFmtId="0" fontId="12" fillId="2" borderId="4" xfId="0" applyFont="1" applyFill="1" applyBorder="1" applyAlignment="1">
      <alignment horizontal="center" vertical="center"/>
    </xf>
    <xf numFmtId="0" fontId="7" fillId="12" borderId="15" xfId="0" applyFont="1" applyFill="1" applyBorder="1" applyAlignment="1">
      <alignment horizontal="left" vertical="top" wrapText="1"/>
    </xf>
    <xf numFmtId="0" fontId="2" fillId="9" borderId="15" xfId="0" applyFont="1" applyFill="1" applyBorder="1" applyAlignment="1">
      <alignment horizontal="left" vertical="center" wrapText="1"/>
    </xf>
    <xf numFmtId="0" fontId="5" fillId="2" borderId="15" xfId="4" applyFont="1" applyFill="1" applyBorder="1" applyAlignment="1">
      <alignment horizontal="left" vertical="center"/>
    </xf>
    <xf numFmtId="0" fontId="8" fillId="2" borderId="15" xfId="0" applyFont="1" applyFill="1" applyBorder="1" applyAlignment="1">
      <alignment horizontal="center"/>
    </xf>
    <xf numFmtId="0" fontId="5" fillId="2" borderId="15" xfId="4" applyFont="1" applyFill="1" applyBorder="1" applyAlignment="1">
      <alignment horizontal="left" vertical="center" wrapText="1"/>
    </xf>
    <xf numFmtId="0" fontId="5" fillId="2" borderId="15" xfId="4" applyFont="1" applyFill="1" applyBorder="1" applyAlignment="1">
      <alignment horizontal="center" vertical="center"/>
    </xf>
    <xf numFmtId="0" fontId="5" fillId="2" borderId="15" xfId="4" applyFont="1" applyFill="1" applyBorder="1" applyAlignment="1">
      <alignment horizontal="center" vertical="center" wrapText="1"/>
    </xf>
    <xf numFmtId="0" fontId="8" fillId="2" borderId="15" xfId="0" applyFont="1" applyFill="1" applyBorder="1" applyAlignment="1">
      <alignment horizontal="center" vertical="center"/>
    </xf>
    <xf numFmtId="0" fontId="12" fillId="10" borderId="4" xfId="0" applyFont="1" applyFill="1" applyBorder="1" applyAlignment="1">
      <alignment horizontal="center" vertical="center"/>
    </xf>
    <xf numFmtId="0" fontId="6" fillId="12" borderId="4" xfId="0" applyFont="1" applyFill="1" applyBorder="1" applyAlignment="1">
      <alignment horizontal="center" vertical="center" wrapText="1"/>
    </xf>
    <xf numFmtId="0" fontId="6" fillId="12" borderId="4" xfId="0" applyFont="1" applyFill="1" applyBorder="1" applyAlignment="1">
      <alignment vertical="center"/>
    </xf>
    <xf numFmtId="1" fontId="8" fillId="2" borderId="4" xfId="0" applyNumberFormat="1" applyFont="1" applyFill="1" applyBorder="1" applyAlignment="1">
      <alignment horizontal="center" vertical="center"/>
    </xf>
    <xf numFmtId="1" fontId="5" fillId="2" borderId="4" xfId="4" applyNumberFormat="1" applyFont="1" applyFill="1" applyBorder="1" applyAlignment="1">
      <alignment horizontal="center" vertical="center" wrapText="1"/>
    </xf>
    <xf numFmtId="9" fontId="8" fillId="0" borderId="4" xfId="3" applyFont="1" applyFill="1" applyBorder="1" applyAlignment="1">
      <alignment horizontal="center" vertical="center" wrapText="1"/>
    </xf>
    <xf numFmtId="0" fontId="5" fillId="0" borderId="4" xfId="4" applyFont="1" applyFill="1" applyBorder="1" applyAlignment="1">
      <alignment horizontal="left" vertical="center" wrapText="1"/>
    </xf>
    <xf numFmtId="0" fontId="5" fillId="0" borderId="4" xfId="4" applyFont="1" applyFill="1" applyBorder="1" applyAlignment="1">
      <alignment horizontal="center" vertical="center" wrapText="1"/>
    </xf>
    <xf numFmtId="9" fontId="5" fillId="2" borderId="4" xfId="3" applyNumberFormat="1"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4" xfId="0" applyFont="1" applyFill="1" applyBorder="1" applyAlignment="1">
      <alignment horizontal="center" vertical="center" wrapText="1"/>
    </xf>
    <xf numFmtId="10" fontId="1" fillId="2" borderId="4" xfId="0" applyNumberFormat="1" applyFont="1" applyFill="1" applyBorder="1" applyAlignment="1">
      <alignment horizontal="center" vertical="center" wrapText="1"/>
    </xf>
    <xf numFmtId="10" fontId="1" fillId="0" borderId="4" xfId="3" applyNumberFormat="1" applyFont="1" applyBorder="1" applyAlignment="1">
      <alignment horizontal="center" vertical="center" wrapText="1"/>
    </xf>
    <xf numFmtId="10" fontId="5" fillId="2" borderId="4" xfId="3" applyNumberFormat="1" applyFont="1" applyFill="1" applyBorder="1" applyAlignment="1">
      <alignment horizontal="center" vertical="center" wrapText="1"/>
    </xf>
    <xf numFmtId="10" fontId="14" fillId="0" borderId="4" xfId="3" applyNumberFormat="1" applyFont="1" applyBorder="1" applyAlignment="1">
      <alignment horizontal="left" vertical="center" wrapText="1"/>
    </xf>
    <xf numFmtId="9" fontId="1" fillId="2" borderId="5" xfId="3" applyFont="1" applyFill="1" applyBorder="1" applyAlignment="1">
      <alignment horizontal="center" vertical="center" wrapText="1"/>
    </xf>
    <xf numFmtId="10" fontId="14" fillId="2" borderId="4" xfId="3" applyNumberFormat="1" applyFont="1" applyFill="1" applyBorder="1" applyAlignment="1">
      <alignment horizontal="left" vertical="center" wrapText="1"/>
    </xf>
    <xf numFmtId="10" fontId="1" fillId="2" borderId="4" xfId="3" applyNumberFormat="1" applyFont="1" applyFill="1" applyBorder="1" applyAlignment="1">
      <alignment horizontal="center" vertical="center" wrapText="1"/>
    </xf>
    <xf numFmtId="9" fontId="8" fillId="2" borderId="5" xfId="3" applyFont="1" applyFill="1" applyBorder="1" applyAlignment="1">
      <alignment horizontal="center" vertical="center" wrapText="1"/>
    </xf>
    <xf numFmtId="0" fontId="6" fillId="8" borderId="13" xfId="0" applyFont="1" applyFill="1" applyBorder="1" applyAlignment="1">
      <alignment horizontal="center" vertical="center" wrapText="1"/>
    </xf>
    <xf numFmtId="0" fontId="7" fillId="12" borderId="13" xfId="0" applyFont="1" applyFill="1" applyBorder="1" applyAlignment="1">
      <alignment horizontal="left" vertical="top" wrapText="1"/>
    </xf>
    <xf numFmtId="0" fontId="6" fillId="12" borderId="13" xfId="0" applyFont="1" applyFill="1" applyBorder="1" applyAlignment="1">
      <alignment vertical="center"/>
    </xf>
    <xf numFmtId="0" fontId="2" fillId="9" borderId="13" xfId="0" applyFont="1" applyFill="1" applyBorder="1" applyAlignment="1">
      <alignment horizontal="left" vertical="center" wrapText="1"/>
    </xf>
    <xf numFmtId="0" fontId="2" fillId="9" borderId="13" xfId="0" applyFont="1" applyFill="1" applyBorder="1" applyAlignment="1">
      <alignment horizontal="center"/>
    </xf>
    <xf numFmtId="0" fontId="5" fillId="2" borderId="13" xfId="4" applyFont="1" applyFill="1" applyBorder="1" applyAlignment="1">
      <alignment horizontal="center" vertical="center" wrapText="1"/>
    </xf>
    <xf numFmtId="10" fontId="5" fillId="0" borderId="4" xfId="3" applyNumberFormat="1" applyFont="1" applyFill="1" applyBorder="1" applyAlignment="1">
      <alignment horizontal="center" vertical="center" wrapText="1"/>
    </xf>
    <xf numFmtId="10" fontId="5" fillId="2" borderId="13" xfId="4" applyNumberFormat="1" applyFont="1" applyFill="1" applyBorder="1" applyAlignment="1">
      <alignment horizontal="center" vertical="center" wrapText="1"/>
    </xf>
    <xf numFmtId="10" fontId="5" fillId="2" borderId="13" xfId="1" applyNumberFormat="1" applyFont="1" applyFill="1" applyBorder="1" applyAlignment="1">
      <alignment horizontal="center" vertical="center" wrapText="1"/>
    </xf>
    <xf numFmtId="0" fontId="5" fillId="2" borderId="13" xfId="4" applyFont="1" applyFill="1" applyBorder="1" applyAlignment="1">
      <alignment vertical="center" wrapText="1"/>
    </xf>
    <xf numFmtId="0" fontId="12" fillId="11" borderId="4" xfId="0" applyFont="1" applyFill="1" applyBorder="1" applyAlignment="1">
      <alignment horizontal="center" vertical="center"/>
    </xf>
    <xf numFmtId="0" fontId="12" fillId="2" borderId="13" xfId="0" applyFont="1" applyFill="1" applyBorder="1"/>
    <xf numFmtId="0" fontId="7" fillId="12" borderId="4" xfId="0" applyFont="1" applyFill="1" applyBorder="1" applyAlignment="1">
      <alignment horizontal="center" vertical="top" wrapText="1"/>
    </xf>
    <xf numFmtId="0" fontId="2" fillId="9" borderId="4" xfId="0" applyFont="1" applyFill="1" applyBorder="1" applyAlignment="1">
      <alignment horizontal="center"/>
    </xf>
    <xf numFmtId="9" fontId="5" fillId="0" borderId="4" xfId="3" applyFont="1" applyFill="1" applyBorder="1" applyAlignment="1">
      <alignment horizontal="left" vertical="center" wrapText="1"/>
    </xf>
    <xf numFmtId="9" fontId="2" fillId="12" borderId="4" xfId="3" applyFont="1" applyFill="1" applyBorder="1" applyAlignment="1">
      <alignment horizontal="center" vertical="center"/>
    </xf>
    <xf numFmtId="164" fontId="2" fillId="12"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xf>
    <xf numFmtId="0" fontId="2" fillId="10" borderId="4" xfId="0" applyFont="1" applyFill="1" applyBorder="1" applyAlignment="1">
      <alignment horizontal="center" vertical="center"/>
    </xf>
    <xf numFmtId="166" fontId="5" fillId="0" borderId="4" xfId="3" applyNumberFormat="1" applyFont="1" applyFill="1" applyBorder="1" applyAlignment="1">
      <alignment horizontal="left" vertical="center" wrapText="1"/>
    </xf>
    <xf numFmtId="166" fontId="5" fillId="0" borderId="4" xfId="1" applyFont="1" applyFill="1" applyBorder="1" applyAlignment="1">
      <alignment horizontal="center" vertical="center" wrapText="1"/>
    </xf>
    <xf numFmtId="166" fontId="5" fillId="0" borderId="4" xfId="1" applyFont="1" applyFill="1" applyBorder="1" applyAlignment="1">
      <alignment horizontal="left" vertical="center" wrapText="1"/>
    </xf>
    <xf numFmtId="3" fontId="2" fillId="0" borderId="4" xfId="0" applyNumberFormat="1" applyFont="1" applyFill="1" applyBorder="1" applyAlignment="1">
      <alignment horizontal="center" vertical="center"/>
    </xf>
    <xf numFmtId="3" fontId="2" fillId="0" borderId="4" xfId="0" applyNumberFormat="1" applyFont="1" applyFill="1" applyBorder="1" applyAlignment="1">
      <alignment horizontal="center" vertical="center" wrapText="1"/>
    </xf>
    <xf numFmtId="0" fontId="11" fillId="10" borderId="4" xfId="0" applyFont="1" applyFill="1" applyBorder="1" applyAlignment="1">
      <alignment horizontal="center" vertical="center"/>
    </xf>
    <xf numFmtId="0" fontId="2" fillId="0" borderId="14" xfId="0" applyFont="1" applyFill="1" applyBorder="1" applyAlignment="1">
      <alignment horizontal="center" vertical="center" wrapText="1"/>
    </xf>
    <xf numFmtId="0" fontId="5" fillId="2" borderId="4" xfId="0" applyFont="1" applyFill="1" applyBorder="1" applyAlignment="1">
      <alignment horizontal="center" vertical="center"/>
    </xf>
    <xf numFmtId="10" fontId="2" fillId="0" borderId="4" xfId="3" applyNumberFormat="1" applyFont="1" applyFill="1" applyBorder="1" applyAlignment="1">
      <alignment horizontal="center" vertical="center"/>
    </xf>
    <xf numFmtId="9" fontId="5" fillId="0" borderId="4" xfId="4" applyNumberFormat="1" applyFont="1" applyFill="1" applyBorder="1" applyAlignment="1">
      <alignment horizontal="center" vertical="center" wrapText="1"/>
    </xf>
    <xf numFmtId="0" fontId="8" fillId="11" borderId="4" xfId="0" applyFont="1" applyFill="1" applyBorder="1" applyAlignment="1">
      <alignment horizontal="center" vertical="center"/>
    </xf>
    <xf numFmtId="0" fontId="6" fillId="9" borderId="4" xfId="0" applyFont="1" applyFill="1" applyBorder="1" applyAlignment="1">
      <alignment horizontal="center" vertical="center" wrapText="1"/>
    </xf>
    <xf numFmtId="0" fontId="6" fillId="9" borderId="4" xfId="0" applyFont="1" applyFill="1" applyBorder="1" applyAlignment="1">
      <alignment vertical="center"/>
    </xf>
    <xf numFmtId="0" fontId="8" fillId="0" borderId="4" xfId="0" applyFont="1" applyFill="1" applyBorder="1" applyAlignment="1">
      <alignment horizontal="left" vertical="center"/>
    </xf>
    <xf numFmtId="0" fontId="5" fillId="2" borderId="4" xfId="5" applyFont="1" applyFill="1" applyBorder="1" applyAlignment="1">
      <alignment horizontal="center" vertical="center" wrapText="1"/>
    </xf>
    <xf numFmtId="10" fontId="8" fillId="2" borderId="4" xfId="3" applyNumberFormat="1" applyFont="1" applyFill="1" applyBorder="1" applyAlignment="1">
      <alignment horizontal="center" vertical="center"/>
    </xf>
    <xf numFmtId="0" fontId="8" fillId="2" borderId="4" xfId="0" applyFont="1" applyFill="1" applyBorder="1" applyAlignment="1">
      <alignment horizontal="left"/>
    </xf>
    <xf numFmtId="0" fontId="12" fillId="2" borderId="4" xfId="0" applyFont="1" applyFill="1" applyBorder="1"/>
    <xf numFmtId="0" fontId="12" fillId="10" borderId="4" xfId="0" applyFont="1" applyFill="1" applyBorder="1"/>
    <xf numFmtId="0" fontId="6"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6" fillId="0" borderId="4" xfId="0" applyFont="1" applyFill="1" applyBorder="1" applyAlignment="1">
      <alignment vertical="center"/>
    </xf>
    <xf numFmtId="0" fontId="2" fillId="2" borderId="4" xfId="0" applyFont="1" applyFill="1" applyBorder="1" applyAlignment="1">
      <alignment horizontal="left" vertical="center" wrapText="1"/>
    </xf>
    <xf numFmtId="0" fontId="5" fillId="0" borderId="4" xfId="5" applyFont="1" applyFill="1" applyBorder="1" applyAlignment="1">
      <alignment horizontal="left" vertical="center" wrapText="1"/>
    </xf>
    <xf numFmtId="0" fontId="5" fillId="0" borderId="4" xfId="5" applyFont="1" applyFill="1" applyBorder="1" applyAlignment="1">
      <alignment horizontal="center" vertical="center" wrapText="1"/>
    </xf>
    <xf numFmtId="167" fontId="5" fillId="0" borderId="4" xfId="3" applyNumberFormat="1" applyFont="1" applyFill="1" applyBorder="1" applyAlignment="1">
      <alignment vertical="center"/>
    </xf>
    <xf numFmtId="10" fontId="5" fillId="0" borderId="4" xfId="3" applyNumberFormat="1" applyFont="1" applyFill="1" applyBorder="1" applyAlignment="1">
      <alignment vertical="center"/>
    </xf>
    <xf numFmtId="0" fontId="8" fillId="0" borderId="4" xfId="0" applyFont="1" applyFill="1" applyBorder="1" applyAlignment="1">
      <alignment horizontal="left"/>
    </xf>
    <xf numFmtId="0" fontId="8" fillId="0" borderId="4" xfId="0" applyFont="1" applyFill="1" applyBorder="1" applyAlignment="1">
      <alignment horizontal="center"/>
    </xf>
    <xf numFmtId="10" fontId="2" fillId="0" borderId="4" xfId="3" applyNumberFormat="1" applyFont="1" applyBorder="1" applyAlignment="1">
      <alignment horizontal="center" vertical="center"/>
    </xf>
    <xf numFmtId="167" fontId="8" fillId="2" borderId="4" xfId="3" applyNumberFormat="1" applyFont="1" applyFill="1" applyBorder="1" applyAlignment="1">
      <alignment horizontal="center" vertical="center"/>
    </xf>
    <xf numFmtId="10" fontId="5" fillId="0" borderId="16" xfId="3" applyNumberFormat="1" applyFont="1" applyFill="1" applyBorder="1" applyAlignment="1">
      <alignment vertical="center"/>
    </xf>
    <xf numFmtId="0" fontId="5" fillId="0" borderId="4" xfId="0" applyFont="1" applyFill="1" applyBorder="1" applyAlignment="1">
      <alignment horizontal="left"/>
    </xf>
    <xf numFmtId="0" fontId="8" fillId="10" borderId="4" xfId="0" applyFont="1" applyFill="1" applyBorder="1" applyAlignment="1">
      <alignment horizontal="center" vertical="center"/>
    </xf>
    <xf numFmtId="0" fontId="5" fillId="13" borderId="4" xfId="0" applyFont="1" applyFill="1" applyBorder="1" applyAlignment="1">
      <alignment horizontal="center" vertical="center" wrapText="1"/>
    </xf>
    <xf numFmtId="168" fontId="8" fillId="0" borderId="4" xfId="2" applyNumberFormat="1" applyFont="1" applyFill="1" applyBorder="1" applyAlignment="1">
      <alignment horizontal="center" vertical="center"/>
    </xf>
    <xf numFmtId="2" fontId="8" fillId="0" borderId="4" xfId="2" applyNumberFormat="1" applyFont="1" applyFill="1" applyBorder="1" applyAlignment="1">
      <alignment horizontal="right" vertical="center"/>
    </xf>
    <xf numFmtId="0" fontId="5" fillId="0" borderId="4" xfId="0" applyFont="1" applyFill="1" applyBorder="1" applyAlignment="1">
      <alignment horizontal="left" vertical="center" wrapText="1"/>
    </xf>
    <xf numFmtId="169" fontId="5" fillId="0" borderId="4" xfId="6" applyNumberFormat="1" applyFont="1" applyFill="1" applyBorder="1" applyAlignment="1">
      <alignment horizontal="left"/>
    </xf>
    <xf numFmtId="0" fontId="5" fillId="0" borderId="4" xfId="0" applyFont="1" applyFill="1" applyBorder="1" applyAlignment="1">
      <alignment horizontal="center" vertical="center" wrapText="1"/>
    </xf>
    <xf numFmtId="2" fontId="2" fillId="0" borderId="4" xfId="0" applyNumberFormat="1" applyFont="1" applyBorder="1" applyAlignment="1">
      <alignment vertical="center"/>
    </xf>
    <xf numFmtId="2" fontId="2" fillId="0" borderId="4" xfId="0" applyNumberFormat="1" applyFont="1" applyBorder="1" applyAlignment="1">
      <alignment horizontal="center" vertical="center"/>
    </xf>
    <xf numFmtId="168" fontId="8" fillId="2" borderId="4" xfId="2" applyNumberFormat="1" applyFont="1" applyFill="1" applyBorder="1" applyAlignment="1">
      <alignment horizontal="center" vertical="center"/>
    </xf>
    <xf numFmtId="0" fontId="2" fillId="9" borderId="4" xfId="0" applyFont="1" applyFill="1" applyBorder="1" applyAlignment="1">
      <alignment vertical="center" wrapText="1"/>
    </xf>
    <xf numFmtId="9" fontId="8" fillId="0" borderId="4" xfId="3" applyFont="1" applyFill="1" applyBorder="1" applyAlignment="1">
      <alignment horizontal="right" vertical="center"/>
    </xf>
    <xf numFmtId="10" fontId="8" fillId="0" borderId="4" xfId="3" applyNumberFormat="1" applyFont="1" applyFill="1" applyBorder="1" applyAlignment="1">
      <alignment horizontal="right" vertical="center" wrapText="1"/>
    </xf>
    <xf numFmtId="9" fontId="5" fillId="0" borderId="4" xfId="6" applyNumberFormat="1" applyFont="1" applyFill="1" applyBorder="1" applyAlignment="1">
      <alignment horizontal="right" vertical="center" wrapText="1"/>
    </xf>
    <xf numFmtId="9" fontId="8" fillId="0" borderId="4" xfId="3" applyNumberFormat="1" applyFont="1" applyFill="1" applyBorder="1" applyAlignment="1">
      <alignment horizontal="right" vertical="center" wrapText="1"/>
    </xf>
    <xf numFmtId="9" fontId="8" fillId="0" borderId="4" xfId="3" applyNumberFormat="1" applyFont="1" applyFill="1" applyBorder="1" applyAlignment="1">
      <alignment horizontal="right" vertical="center"/>
    </xf>
    <xf numFmtId="9" fontId="2" fillId="0" borderId="4" xfId="3" applyFont="1" applyBorder="1" applyAlignment="1">
      <alignment horizontal="center" vertical="center"/>
    </xf>
    <xf numFmtId="0" fontId="8" fillId="0" borderId="4" xfId="0" applyFont="1" applyFill="1" applyBorder="1" applyAlignment="1">
      <alignment vertical="center" wrapText="1"/>
    </xf>
    <xf numFmtId="9" fontId="8" fillId="0" borderId="4" xfId="3" applyFont="1" applyFill="1" applyBorder="1" applyAlignment="1">
      <alignment horizontal="right"/>
    </xf>
    <xf numFmtId="10" fontId="8" fillId="0" borderId="4" xfId="3" applyNumberFormat="1" applyFont="1" applyFill="1" applyBorder="1" applyAlignment="1">
      <alignment horizontal="right" vertical="center"/>
    </xf>
    <xf numFmtId="0" fontId="8" fillId="0" borderId="4" xfId="0" applyFont="1" applyFill="1" applyBorder="1" applyAlignment="1">
      <alignment horizontal="center" wrapText="1"/>
    </xf>
    <xf numFmtId="0" fontId="2" fillId="9" borderId="15" xfId="0" applyFont="1" applyFill="1" applyBorder="1" applyAlignment="1">
      <alignment vertical="center" wrapText="1"/>
    </xf>
    <xf numFmtId="167" fontId="8" fillId="0" borderId="4" xfId="3" applyNumberFormat="1" applyFont="1" applyFill="1" applyBorder="1" applyAlignment="1">
      <alignment horizontal="right"/>
    </xf>
    <xf numFmtId="0" fontId="6" fillId="9" borderId="6" xfId="0" applyFont="1" applyFill="1" applyBorder="1" applyAlignment="1">
      <alignment vertical="center"/>
    </xf>
    <xf numFmtId="0" fontId="2" fillId="9" borderId="4" xfId="0" applyFont="1" applyFill="1" applyBorder="1" applyAlignment="1">
      <alignment vertical="top" wrapText="1"/>
    </xf>
    <xf numFmtId="0" fontId="5" fillId="2" borderId="4" xfId="0" applyFont="1" applyFill="1" applyBorder="1" applyAlignment="1">
      <alignment horizontal="center"/>
    </xf>
    <xf numFmtId="0" fontId="5" fillId="2" borderId="4" xfId="0" applyFont="1" applyFill="1" applyBorder="1" applyAlignment="1">
      <alignment horizontal="left" vertical="center" wrapText="1"/>
    </xf>
    <xf numFmtId="10" fontId="5" fillId="0" borderId="4" xfId="4" applyNumberFormat="1" applyFont="1" applyFill="1" applyBorder="1" applyAlignment="1">
      <alignment horizontal="right" vertical="center" wrapText="1"/>
    </xf>
    <xf numFmtId="9" fontId="2" fillId="14" borderId="4" xfId="0" applyNumberFormat="1" applyFont="1" applyFill="1" applyBorder="1" applyAlignment="1">
      <alignment horizontal="center" vertical="center"/>
    </xf>
    <xf numFmtId="0" fontId="2" fillId="14" borderId="4" xfId="0" applyFont="1" applyFill="1" applyBorder="1" applyAlignment="1">
      <alignment horizontal="center" vertical="center"/>
    </xf>
    <xf numFmtId="0" fontId="5" fillId="0" borderId="4" xfId="4" applyNumberFormat="1" applyFont="1" applyFill="1" applyBorder="1" applyAlignment="1">
      <alignment horizontal="center" vertical="center" wrapText="1"/>
    </xf>
    <xf numFmtId="9" fontId="5" fillId="0" borderId="4" xfId="3" applyFont="1" applyFill="1" applyBorder="1" applyAlignment="1">
      <alignment horizontal="right" vertical="center" wrapText="1"/>
    </xf>
    <xf numFmtId="0" fontId="5" fillId="2" borderId="4" xfId="0" applyFont="1" applyFill="1" applyBorder="1" applyAlignment="1">
      <alignment horizontal="left"/>
    </xf>
    <xf numFmtId="0" fontId="11" fillId="10" borderId="4" xfId="0" applyFont="1" applyFill="1" applyBorder="1"/>
    <xf numFmtId="0" fontId="5" fillId="2" borderId="4" xfId="5" applyFont="1" applyFill="1" applyBorder="1" applyAlignment="1">
      <alignment horizontal="left" vertical="center" wrapText="1"/>
    </xf>
    <xf numFmtId="10" fontId="5" fillId="0" borderId="4" xfId="3" applyNumberFormat="1" applyFont="1" applyFill="1" applyBorder="1" applyAlignment="1">
      <alignment horizontal="right" vertical="center" wrapText="1"/>
    </xf>
    <xf numFmtId="0" fontId="12" fillId="0" borderId="4" xfId="0" applyFont="1" applyFill="1" applyBorder="1"/>
    <xf numFmtId="9" fontId="8" fillId="2" borderId="4" xfId="0" applyNumberFormat="1" applyFont="1" applyFill="1" applyBorder="1" applyAlignment="1">
      <alignment horizontal="center"/>
    </xf>
    <xf numFmtId="0" fontId="12" fillId="11" borderId="4" xfId="0" applyFont="1" applyFill="1" applyBorder="1"/>
    <xf numFmtId="0" fontId="12" fillId="0" borderId="14" xfId="0" applyFont="1" applyFill="1" applyBorder="1" applyAlignment="1">
      <alignment horizontal="center" vertical="center" wrapText="1"/>
    </xf>
    <xf numFmtId="0" fontId="5" fillId="0" borderId="4" xfId="4" applyFont="1" applyFill="1" applyBorder="1" applyAlignment="1">
      <alignment horizontal="right" vertical="center" wrapText="1"/>
    </xf>
    <xf numFmtId="10" fontId="5" fillId="0" borderId="4" xfId="4" applyNumberFormat="1" applyFont="1" applyFill="1" applyBorder="1" applyAlignment="1">
      <alignment horizontal="center" vertical="center" wrapText="1"/>
    </xf>
    <xf numFmtId="0" fontId="11" fillId="2" borderId="4" xfId="0" applyFont="1" applyFill="1" applyBorder="1" applyAlignment="1">
      <alignment horizontal="center"/>
    </xf>
    <xf numFmtId="1" fontId="5" fillId="0" borderId="4" xfId="4" applyNumberFormat="1" applyFont="1" applyFill="1" applyBorder="1" applyAlignment="1">
      <alignment horizontal="center" vertical="center" wrapText="1"/>
    </xf>
    <xf numFmtId="10" fontId="8" fillId="0" borderId="4" xfId="0" applyNumberFormat="1" applyFont="1" applyFill="1" applyBorder="1" applyAlignment="1">
      <alignment horizontal="center" vertical="center" wrapText="1"/>
    </xf>
    <xf numFmtId="10" fontId="8" fillId="2" borderId="4" xfId="0" applyNumberFormat="1" applyFont="1" applyFill="1" applyBorder="1" applyAlignment="1">
      <alignment horizontal="center" vertical="center" wrapText="1"/>
    </xf>
    <xf numFmtId="0" fontId="2" fillId="9" borderId="4" xfId="0" applyFont="1" applyFill="1" applyBorder="1" applyAlignment="1">
      <alignment horizontal="center" vertical="center"/>
    </xf>
    <xf numFmtId="0" fontId="5" fillId="9" borderId="4" xfId="0" applyFont="1" applyFill="1" applyBorder="1" applyAlignment="1">
      <alignment horizontal="center" vertical="center" wrapText="1"/>
    </xf>
    <xf numFmtId="9" fontId="2" fillId="0" borderId="4" xfId="0" applyNumberFormat="1" applyFont="1" applyFill="1" applyBorder="1" applyAlignment="1">
      <alignment horizontal="center" vertical="center"/>
    </xf>
    <xf numFmtId="0" fontId="2" fillId="9" borderId="4" xfId="0" applyFont="1" applyFill="1" applyBorder="1" applyAlignment="1">
      <alignment horizontal="center" vertical="center" wrapText="1"/>
    </xf>
    <xf numFmtId="10" fontId="2" fillId="9" borderId="4" xfId="0" applyNumberFormat="1" applyFont="1" applyFill="1" applyBorder="1" applyAlignment="1">
      <alignment horizontal="center" vertical="center"/>
    </xf>
    <xf numFmtId="0" fontId="5" fillId="2" borderId="14" xfId="0" applyFont="1" applyFill="1" applyBorder="1" applyAlignment="1">
      <alignment horizontal="center" vertical="center" wrapText="1"/>
    </xf>
    <xf numFmtId="0" fontId="5" fillId="9" borderId="4" xfId="0" applyFont="1" applyFill="1" applyBorder="1" applyAlignment="1">
      <alignment horizontal="left" vertical="center" wrapText="1"/>
    </xf>
    <xf numFmtId="0" fontId="2" fillId="9" borderId="4" xfId="0" applyFont="1" applyFill="1" applyBorder="1" applyAlignment="1">
      <alignment vertical="center"/>
    </xf>
    <xf numFmtId="10" fontId="2" fillId="9" borderId="4" xfId="3" applyNumberFormat="1" applyFont="1" applyFill="1" applyBorder="1" applyAlignment="1">
      <alignment horizontal="center" vertical="center"/>
    </xf>
    <xf numFmtId="0" fontId="2" fillId="2" borderId="4" xfId="0" applyFont="1" applyFill="1" applyBorder="1" applyAlignment="1">
      <alignment horizontal="left" vertical="center"/>
    </xf>
    <xf numFmtId="9" fontId="2" fillId="0" borderId="4" xfId="3" applyFont="1" applyFill="1" applyBorder="1" applyAlignment="1">
      <alignment horizontal="center" vertical="center"/>
    </xf>
    <xf numFmtId="167" fontId="2" fillId="9" borderId="4" xfId="3" applyNumberFormat="1" applyFont="1" applyFill="1" applyBorder="1" applyAlignment="1">
      <alignment horizontal="center" vertical="center"/>
    </xf>
    <xf numFmtId="9" fontId="2" fillId="9" borderId="4" xfId="3" applyFont="1" applyFill="1" applyBorder="1" applyAlignment="1">
      <alignment horizontal="center" vertical="center"/>
    </xf>
    <xf numFmtId="9" fontId="2" fillId="9" borderId="4" xfId="0" applyNumberFormat="1" applyFont="1" applyFill="1" applyBorder="1" applyAlignment="1">
      <alignment horizontal="center" vertical="center"/>
    </xf>
    <xf numFmtId="0" fontId="6" fillId="14" borderId="4" xfId="0" applyFont="1" applyFill="1" applyBorder="1" applyAlignment="1">
      <alignment horizontal="center" vertical="center" wrapText="1"/>
    </xf>
    <xf numFmtId="0" fontId="6" fillId="9" borderId="4" xfId="0" applyFont="1" applyFill="1" applyBorder="1" applyAlignment="1">
      <alignment vertical="center" wrapText="1"/>
    </xf>
    <xf numFmtId="10" fontId="5" fillId="14" borderId="17" xfId="0" applyNumberFormat="1" applyFont="1" applyFill="1" applyBorder="1" applyAlignment="1">
      <alignment horizontal="center" vertical="center" wrapText="1"/>
    </xf>
    <xf numFmtId="10" fontId="5" fillId="14" borderId="13" xfId="0" applyNumberFormat="1" applyFont="1" applyFill="1" applyBorder="1" applyAlignment="1">
      <alignment horizontal="center" vertical="center" wrapText="1"/>
    </xf>
    <xf numFmtId="0" fontId="12" fillId="14" borderId="4" xfId="0" applyFont="1" applyFill="1" applyBorder="1"/>
    <xf numFmtId="0" fontId="12" fillId="15" borderId="4" xfId="0" applyFont="1" applyFill="1" applyBorder="1"/>
    <xf numFmtId="9" fontId="2" fillId="13" borderId="4" xfId="0" applyNumberFormat="1" applyFont="1" applyFill="1" applyBorder="1" applyAlignment="1">
      <alignment horizontal="center" vertical="center"/>
    </xf>
    <xf numFmtId="9" fontId="2" fillId="13" borderId="4" xfId="0" applyNumberFormat="1" applyFont="1" applyFill="1" applyBorder="1" applyAlignment="1">
      <alignment horizontal="center" vertical="center" wrapText="1"/>
    </xf>
    <xf numFmtId="9" fontId="2" fillId="13" borderId="4" xfId="0" applyNumberFormat="1" applyFont="1" applyFill="1" applyBorder="1" applyAlignment="1">
      <alignment horizontal="left" vertical="justify"/>
    </xf>
    <xf numFmtId="9" fontId="2" fillId="0" borderId="4" xfId="3" applyFont="1" applyFill="1" applyBorder="1" applyAlignment="1">
      <alignment horizontal="center" vertical="center" wrapText="1"/>
    </xf>
    <xf numFmtId="9" fontId="2" fillId="2" borderId="0" xfId="3" applyFont="1" applyFill="1" applyAlignment="1">
      <alignment horizontal="center" vertical="center"/>
    </xf>
    <xf numFmtId="0" fontId="2" fillId="0" borderId="4" xfId="0" applyFont="1" applyBorder="1" applyAlignment="1">
      <alignment horizontal="left" vertical="center" wrapText="1"/>
    </xf>
    <xf numFmtId="0" fontId="2" fillId="0" borderId="4" xfId="0" applyFont="1" applyBorder="1" applyAlignment="1">
      <alignment vertical="center" wrapText="1"/>
    </xf>
    <xf numFmtId="0" fontId="2" fillId="0" borderId="4" xfId="0" applyFont="1" applyBorder="1" applyAlignment="1">
      <alignment horizontal="center" vertical="center" wrapText="1"/>
    </xf>
    <xf numFmtId="9" fontId="2" fillId="2" borderId="4" xfId="3" applyFont="1" applyFill="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0" fontId="5" fillId="13" borderId="4" xfId="0" applyFont="1" applyFill="1" applyBorder="1" applyAlignment="1">
      <alignment horizontal="left" vertical="center" wrapText="1"/>
    </xf>
    <xf numFmtId="0" fontId="2" fillId="13" borderId="4" xfId="0" applyFont="1" applyFill="1" applyBorder="1" applyAlignment="1">
      <alignment horizontal="left" vertical="justify"/>
    </xf>
    <xf numFmtId="0" fontId="2" fillId="0" borderId="6" xfId="0" applyFont="1" applyBorder="1" applyAlignment="1">
      <alignment horizontal="center" vertical="center" wrapText="1"/>
    </xf>
    <xf numFmtId="0" fontId="2" fillId="0" borderId="14" xfId="0" applyFont="1" applyBorder="1" applyAlignment="1">
      <alignment horizontal="left" vertical="center" wrapText="1"/>
    </xf>
    <xf numFmtId="0" fontId="2" fillId="0" borderId="6" xfId="0" applyFont="1" applyBorder="1" applyAlignment="1">
      <alignment vertical="center" wrapText="1"/>
    </xf>
    <xf numFmtId="0" fontId="2" fillId="9" borderId="4" xfId="0" applyFont="1" applyFill="1" applyBorder="1" applyAlignment="1">
      <alignment horizontal="left" vertical="top" wrapText="1"/>
    </xf>
    <xf numFmtId="9" fontId="2" fillId="9" borderId="4" xfId="3" applyNumberFormat="1" applyFont="1" applyFill="1" applyBorder="1" applyAlignment="1">
      <alignment horizontal="center" vertical="center"/>
    </xf>
    <xf numFmtId="0" fontId="2" fillId="9" borderId="4" xfId="0" applyFont="1" applyFill="1" applyBorder="1" applyAlignment="1">
      <alignment horizontal="left" wrapText="1"/>
    </xf>
    <xf numFmtId="9" fontId="8" fillId="2" borderId="4" xfId="0" applyNumberFormat="1" applyFont="1" applyFill="1" applyBorder="1"/>
    <xf numFmtId="9" fontId="2" fillId="9" borderId="4" xfId="0" applyNumberFormat="1" applyFont="1" applyFill="1" applyBorder="1" applyAlignment="1">
      <alignment horizontal="left" vertical="center" wrapText="1"/>
    </xf>
    <xf numFmtId="0" fontId="2" fillId="0" borderId="0" xfId="0" applyFont="1" applyAlignment="1">
      <alignment horizontal="justify" vertical="center"/>
    </xf>
    <xf numFmtId="10" fontId="2" fillId="9" borderId="4" xfId="0" applyNumberFormat="1" applyFont="1" applyFill="1" applyBorder="1" applyAlignment="1">
      <alignment horizontal="center" vertical="center" wrapText="1"/>
    </xf>
    <xf numFmtId="9" fontId="2" fillId="9" borderId="4" xfId="0" applyNumberFormat="1" applyFont="1" applyFill="1" applyBorder="1" applyAlignment="1">
      <alignment horizontal="center" vertical="center" wrapText="1"/>
    </xf>
    <xf numFmtId="10" fontId="8" fillId="2" borderId="4" xfId="0" applyNumberFormat="1" applyFont="1" applyFill="1" applyBorder="1"/>
    <xf numFmtId="10" fontId="8" fillId="10" borderId="4" xfId="0" applyNumberFormat="1" applyFont="1" applyFill="1" applyBorder="1"/>
    <xf numFmtId="0" fontId="7" fillId="8" borderId="15" xfId="0" applyFont="1" applyFill="1" applyBorder="1" applyAlignment="1">
      <alignment horizontal="left" vertical="center" wrapText="1"/>
    </xf>
    <xf numFmtId="0" fontId="6" fillId="8" borderId="15" xfId="0" applyFont="1" applyFill="1" applyBorder="1" applyAlignment="1">
      <alignment vertical="center" wrapText="1"/>
    </xf>
    <xf numFmtId="0" fontId="2" fillId="9" borderId="15" xfId="0" applyFont="1" applyFill="1" applyBorder="1" applyAlignment="1">
      <alignment horizontal="center"/>
    </xf>
    <xf numFmtId="0" fontId="8" fillId="2" borderId="15" xfId="0" applyFont="1" applyFill="1" applyBorder="1" applyAlignment="1">
      <alignment horizontal="left" vertical="center" wrapText="1"/>
    </xf>
    <xf numFmtId="0" fontId="8" fillId="2" borderId="15" xfId="4" applyFont="1" applyFill="1" applyBorder="1" applyAlignment="1">
      <alignment horizontal="center" vertical="center" wrapText="1"/>
    </xf>
    <xf numFmtId="9" fontId="8" fillId="2" borderId="15" xfId="0" applyNumberFormat="1" applyFont="1" applyFill="1" applyBorder="1" applyAlignment="1">
      <alignment horizontal="center" vertical="center"/>
    </xf>
    <xf numFmtId="9" fontId="8" fillId="2" borderId="15" xfId="0" applyNumberFormat="1" applyFont="1" applyFill="1" applyBorder="1"/>
    <xf numFmtId="9" fontId="10" fillId="2" borderId="4" xfId="0" applyNumberFormat="1" applyFont="1" applyFill="1" applyBorder="1"/>
    <xf numFmtId="0" fontId="2" fillId="9" borderId="4" xfId="0" applyFont="1" applyFill="1" applyBorder="1" applyAlignment="1">
      <alignment horizontal="center" wrapText="1"/>
    </xf>
    <xf numFmtId="0" fontId="2" fillId="9" borderId="4" xfId="0" applyFont="1" applyFill="1" applyBorder="1"/>
    <xf numFmtId="0" fontId="2" fillId="9" borderId="4" xfId="0" applyFont="1" applyFill="1" applyBorder="1" applyAlignment="1">
      <alignment horizontal="left"/>
    </xf>
    <xf numFmtId="170" fontId="8" fillId="2" borderId="4" xfId="3" applyNumberFormat="1" applyFont="1" applyFill="1" applyBorder="1" applyAlignment="1">
      <alignment horizontal="center" vertical="center"/>
    </xf>
    <xf numFmtId="0" fontId="7" fillId="14" borderId="4" xfId="0" applyFont="1" applyFill="1" applyBorder="1" applyAlignment="1">
      <alignment horizontal="left" vertical="top" wrapText="1"/>
    </xf>
    <xf numFmtId="0" fontId="6" fillId="14" borderId="4" xfId="0" applyFont="1" applyFill="1" applyBorder="1" applyAlignment="1">
      <alignment vertical="center"/>
    </xf>
    <xf numFmtId="0" fontId="2" fillId="14" borderId="4" xfId="0" applyFont="1" applyFill="1" applyBorder="1" applyAlignment="1">
      <alignment horizontal="center"/>
    </xf>
    <xf numFmtId="0" fontId="5" fillId="14" borderId="4" xfId="0" applyFont="1" applyFill="1" applyBorder="1" applyAlignment="1">
      <alignment horizontal="center" vertical="center" wrapText="1"/>
    </xf>
    <xf numFmtId="166" fontId="5" fillId="14" borderId="4" xfId="1" applyFont="1" applyFill="1" applyBorder="1" applyAlignment="1">
      <alignment vertical="center" wrapText="1"/>
    </xf>
    <xf numFmtId="0" fontId="5" fillId="14" borderId="4" xfId="0" applyFont="1" applyFill="1" applyBorder="1" applyAlignment="1">
      <alignment horizontal="left" vertical="center" wrapText="1"/>
    </xf>
    <xf numFmtId="166" fontId="5" fillId="14" borderId="4" xfId="1" applyNumberFormat="1" applyFont="1" applyFill="1" applyBorder="1" applyAlignment="1">
      <alignment vertical="center" wrapText="1"/>
    </xf>
    <xf numFmtId="0" fontId="2" fillId="2" borderId="4" xfId="0" applyFont="1" applyFill="1" applyBorder="1" applyAlignment="1">
      <alignment vertical="center"/>
    </xf>
    <xf numFmtId="166" fontId="5" fillId="14" borderId="4" xfId="1" applyFont="1" applyFill="1" applyBorder="1" applyAlignment="1">
      <alignment horizontal="center" vertical="center" wrapText="1"/>
    </xf>
    <xf numFmtId="0" fontId="5" fillId="14" borderId="4" xfId="0" applyFont="1" applyFill="1" applyBorder="1" applyAlignment="1">
      <alignment horizontal="right" vertical="center" wrapText="1"/>
    </xf>
    <xf numFmtId="0" fontId="6" fillId="9" borderId="13" xfId="0" applyFont="1" applyFill="1" applyBorder="1" applyAlignment="1">
      <alignment horizontal="center" vertical="center" wrapText="1"/>
    </xf>
    <xf numFmtId="0" fontId="6" fillId="9" borderId="13" xfId="0" applyFont="1" applyFill="1" applyBorder="1" applyAlignment="1">
      <alignment horizontal="left" vertical="center" wrapText="1"/>
    </xf>
    <xf numFmtId="0" fontId="5" fillId="14" borderId="13" xfId="0" applyFont="1" applyFill="1" applyBorder="1" applyAlignment="1">
      <alignment horizontal="left" vertical="center" wrapText="1"/>
    </xf>
    <xf numFmtId="0" fontId="12" fillId="10" borderId="13" xfId="0" applyFont="1" applyFill="1" applyBorder="1"/>
    <xf numFmtId="0" fontId="7" fillId="12" borderId="4" xfId="0" applyFont="1" applyFill="1" applyBorder="1" applyAlignment="1">
      <alignment vertical="top" wrapText="1"/>
    </xf>
    <xf numFmtId="0" fontId="6" fillId="9" borderId="4" xfId="0" applyFont="1" applyFill="1" applyBorder="1" applyAlignment="1">
      <alignment horizontal="left" vertical="center" wrapText="1"/>
    </xf>
    <xf numFmtId="0" fontId="2" fillId="9" borderId="5" xfId="0" applyFont="1" applyFill="1" applyBorder="1" applyAlignment="1">
      <alignment horizontal="left"/>
    </xf>
    <xf numFmtId="0" fontId="12" fillId="2" borderId="14" xfId="0" applyFont="1" applyFill="1" applyBorder="1"/>
    <xf numFmtId="0" fontId="2" fillId="9" borderId="13" xfId="0" applyFont="1" applyFill="1" applyBorder="1" applyAlignment="1">
      <alignment vertical="center" wrapText="1"/>
    </xf>
    <xf numFmtId="0" fontId="2" fillId="0" borderId="4" xfId="0" applyFont="1" applyFill="1" applyBorder="1" applyAlignment="1">
      <alignment horizontal="center" vertical="center" wrapText="1"/>
    </xf>
    <xf numFmtId="9" fontId="5" fillId="14" borderId="4" xfId="0" applyNumberFormat="1" applyFont="1" applyFill="1" applyBorder="1" applyAlignment="1">
      <alignment horizontal="center" vertical="center"/>
    </xf>
    <xf numFmtId="0" fontId="5" fillId="16" borderId="4" xfId="0" applyFont="1" applyFill="1" applyBorder="1" applyAlignment="1">
      <alignment horizontal="left" vertical="center" wrapText="1"/>
    </xf>
    <xf numFmtId="0" fontId="5" fillId="14" borderId="16" xfId="0" applyFont="1" applyFill="1" applyBorder="1" applyAlignment="1">
      <alignment horizontal="center" vertical="center" wrapText="1"/>
    </xf>
    <xf numFmtId="170" fontId="5" fillId="14" borderId="4" xfId="3" applyNumberFormat="1" applyFont="1" applyFill="1" applyBorder="1" applyAlignment="1">
      <alignment horizontal="left" vertical="center" wrapText="1"/>
    </xf>
    <xf numFmtId="0" fontId="5" fillId="2" borderId="4" xfId="0" applyFont="1" applyFill="1" applyBorder="1" applyAlignment="1">
      <alignment horizontal="center" vertical="center" wrapText="1"/>
    </xf>
    <xf numFmtId="170" fontId="5" fillId="14" borderId="4" xfId="3" applyNumberFormat="1" applyFont="1" applyFill="1" applyBorder="1" applyAlignment="1">
      <alignment horizontal="center" vertical="center" wrapText="1"/>
    </xf>
    <xf numFmtId="1" fontId="5" fillId="2" borderId="4" xfId="0" applyNumberFormat="1" applyFont="1" applyFill="1" applyBorder="1" applyAlignment="1">
      <alignment horizontal="center" vertical="center" wrapText="1"/>
    </xf>
    <xf numFmtId="166" fontId="5" fillId="2" borderId="4" xfId="1" applyFont="1" applyFill="1" applyBorder="1" applyAlignment="1">
      <alignment horizontal="left" vertical="center" wrapText="1"/>
    </xf>
    <xf numFmtId="170" fontId="5" fillId="2" borderId="4" xfId="3" applyNumberFormat="1" applyFont="1" applyFill="1" applyBorder="1" applyAlignment="1">
      <alignment horizontal="left" vertical="center" wrapText="1"/>
    </xf>
    <xf numFmtId="0" fontId="5" fillId="17" borderId="4" xfId="0" applyFont="1" applyFill="1" applyBorder="1"/>
    <xf numFmtId="0" fontId="5" fillId="14" borderId="4" xfId="0" applyFont="1" applyFill="1" applyBorder="1"/>
    <xf numFmtId="171" fontId="5" fillId="14" borderId="4" xfId="0" applyNumberFormat="1" applyFont="1" applyFill="1" applyBorder="1" applyAlignment="1">
      <alignment horizontal="center" vertical="center" wrapText="1"/>
    </xf>
    <xf numFmtId="171" fontId="5" fillId="0" borderId="4" xfId="0" applyNumberFormat="1" applyFont="1" applyFill="1" applyBorder="1" applyAlignment="1">
      <alignment horizontal="center" vertical="center" wrapText="1"/>
    </xf>
    <xf numFmtId="171" fontId="5" fillId="2" borderId="4" xfId="0" applyNumberFormat="1" applyFont="1" applyFill="1" applyBorder="1" applyAlignment="1">
      <alignment horizontal="center" vertical="center" wrapText="1"/>
    </xf>
    <xf numFmtId="0" fontId="5" fillId="18" borderId="18" xfId="0" applyFont="1" applyFill="1" applyBorder="1" applyAlignment="1">
      <alignment horizontal="left" vertical="center" wrapText="1"/>
    </xf>
    <xf numFmtId="0" fontId="5" fillId="18" borderId="18" xfId="0" applyFont="1" applyFill="1" applyBorder="1" applyAlignment="1">
      <alignment horizontal="center" vertical="center" wrapText="1"/>
    </xf>
    <xf numFmtId="0" fontId="6" fillId="14" borderId="4" xfId="0" applyFont="1" applyFill="1" applyBorder="1" applyAlignment="1">
      <alignment vertical="center" wrapText="1"/>
    </xf>
    <xf numFmtId="10" fontId="5" fillId="14" borderId="4" xfId="0" applyNumberFormat="1" applyFont="1" applyFill="1" applyBorder="1" applyAlignment="1">
      <alignment horizontal="center" vertical="center" wrapText="1"/>
    </xf>
    <xf numFmtId="9" fontId="16" fillId="14" borderId="4" xfId="3" applyFont="1" applyFill="1" applyBorder="1" applyAlignment="1">
      <alignment horizontal="center" vertical="center" wrapText="1"/>
    </xf>
    <xf numFmtId="0" fontId="16" fillId="14" borderId="4" xfId="0" applyFont="1" applyFill="1" applyBorder="1" applyAlignment="1">
      <alignment horizontal="left" vertical="center" wrapText="1"/>
    </xf>
    <xf numFmtId="0" fontId="12" fillId="7" borderId="4" xfId="0" applyFont="1" applyFill="1" applyBorder="1"/>
    <xf numFmtId="9" fontId="16" fillId="2" borderId="4" xfId="4" applyNumberFormat="1" applyFont="1" applyFill="1" applyBorder="1" applyAlignment="1">
      <alignment horizontal="center" vertical="center" wrapText="1"/>
    </xf>
    <xf numFmtId="9" fontId="16" fillId="0" borderId="4" xfId="0" applyNumberFormat="1" applyFont="1" applyFill="1" applyBorder="1" applyAlignment="1">
      <alignment horizontal="center" vertical="center" wrapText="1"/>
    </xf>
    <xf numFmtId="0" fontId="17" fillId="0" borderId="4" xfId="0" applyFont="1" applyFill="1" applyBorder="1" applyAlignment="1">
      <alignment vertical="center" wrapText="1"/>
    </xf>
    <xf numFmtId="0" fontId="17" fillId="0" borderId="4" xfId="0" applyFont="1" applyFill="1" applyBorder="1" applyAlignment="1">
      <alignment horizontal="center" vertical="center" wrapText="1"/>
    </xf>
    <xf numFmtId="9" fontId="5" fillId="14" borderId="4" xfId="0" applyNumberFormat="1" applyFont="1" applyFill="1" applyBorder="1" applyAlignment="1">
      <alignment horizontal="center" vertical="center" wrapText="1"/>
    </xf>
    <xf numFmtId="0" fontId="16" fillId="0" borderId="4" xfId="0" applyFont="1" applyFill="1" applyBorder="1" applyAlignment="1">
      <alignment horizontal="left" vertical="center" wrapText="1"/>
    </xf>
    <xf numFmtId="0" fontId="11" fillId="10" borderId="4" xfId="0" applyFont="1" applyFill="1" applyBorder="1" applyAlignment="1">
      <alignment horizontal="left" vertical="center" wrapText="1"/>
    </xf>
    <xf numFmtId="0" fontId="2" fillId="14" borderId="4" xfId="0" applyFont="1" applyFill="1" applyBorder="1" applyAlignment="1">
      <alignment horizontal="center" vertical="center" wrapText="1"/>
    </xf>
    <xf numFmtId="9" fontId="16" fillId="14" borderId="4" xfId="0" applyNumberFormat="1" applyFont="1" applyFill="1" applyBorder="1" applyAlignment="1">
      <alignment horizontal="center" vertical="center" wrapText="1"/>
    </xf>
    <xf numFmtId="9" fontId="16" fillId="0" borderId="4" xfId="3" applyFont="1" applyFill="1" applyBorder="1" applyAlignment="1">
      <alignment horizontal="center" vertical="center" wrapText="1"/>
    </xf>
    <xf numFmtId="0" fontId="16" fillId="0" borderId="4" xfId="0" applyFont="1" applyFill="1" applyBorder="1" applyAlignment="1">
      <alignment horizontal="center" vertical="center" wrapText="1"/>
    </xf>
    <xf numFmtId="9" fontId="5" fillId="14" borderId="4" xfId="3" applyFont="1" applyFill="1" applyBorder="1" applyAlignment="1">
      <alignment horizontal="center" vertical="center" wrapText="1"/>
    </xf>
    <xf numFmtId="0" fontId="2" fillId="2" borderId="4" xfId="0" applyFont="1" applyFill="1" applyBorder="1"/>
    <xf numFmtId="0" fontId="2" fillId="14" borderId="4"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4" xfId="0" applyFont="1" applyFill="1" applyBorder="1" applyAlignment="1">
      <alignment horizontal="center" vertical="center" wrapText="1"/>
    </xf>
    <xf numFmtId="9" fontId="2" fillId="14" borderId="4" xfId="3" applyFont="1" applyFill="1" applyBorder="1" applyAlignment="1">
      <alignment horizontal="center" vertical="center"/>
    </xf>
    <xf numFmtId="9" fontId="18" fillId="0" borderId="4" xfId="3" applyFont="1" applyFill="1" applyBorder="1" applyAlignment="1">
      <alignment horizontal="center" vertical="center"/>
    </xf>
    <xf numFmtId="0" fontId="2" fillId="10" borderId="4" xfId="0" applyFont="1" applyFill="1" applyBorder="1"/>
    <xf numFmtId="9" fontId="16" fillId="16" borderId="4" xfId="3" applyFont="1" applyFill="1" applyBorder="1" applyAlignment="1">
      <alignment horizontal="center" vertical="center" wrapText="1"/>
    </xf>
    <xf numFmtId="9" fontId="5" fillId="16" borderId="4" xfId="3" applyFont="1" applyFill="1" applyBorder="1" applyAlignment="1">
      <alignment horizontal="center" vertical="center" wrapText="1"/>
    </xf>
    <xf numFmtId="0" fontId="6" fillId="14" borderId="4" xfId="0" applyFont="1" applyFill="1" applyBorder="1" applyAlignment="1">
      <alignment horizontal="left" vertical="center"/>
    </xf>
    <xf numFmtId="0" fontId="5" fillId="16" borderId="4" xfId="0" applyFont="1" applyFill="1" applyBorder="1" applyAlignment="1">
      <alignment horizontal="center" vertical="center" wrapText="1"/>
    </xf>
    <xf numFmtId="170" fontId="2" fillId="14" borderId="4" xfId="0" applyNumberFormat="1" applyFont="1" applyFill="1" applyBorder="1" applyAlignment="1">
      <alignment horizontal="center" vertical="center"/>
    </xf>
    <xf numFmtId="167" fontId="2" fillId="14" borderId="4" xfId="0" applyNumberFormat="1" applyFont="1" applyFill="1" applyBorder="1" applyAlignment="1">
      <alignment horizontal="center" vertical="center"/>
    </xf>
    <xf numFmtId="0" fontId="2" fillId="14" borderId="4" xfId="0" applyFont="1" applyFill="1" applyBorder="1" applyAlignment="1">
      <alignment horizontal="center" wrapText="1"/>
    </xf>
    <xf numFmtId="0" fontId="2" fillId="14" borderId="4" xfId="0" applyFont="1" applyFill="1" applyBorder="1" applyAlignment="1">
      <alignment horizontal="center" vertical="top" wrapText="1"/>
    </xf>
    <xf numFmtId="0" fontId="5" fillId="19" borderId="4" xfId="0" applyFont="1" applyFill="1" applyBorder="1" applyAlignment="1">
      <alignment horizontal="center"/>
    </xf>
    <xf numFmtId="0" fontId="2" fillId="14" borderId="4" xfId="0" applyFont="1" applyFill="1" applyBorder="1" applyAlignment="1">
      <alignment horizontal="left" wrapText="1"/>
    </xf>
    <xf numFmtId="9" fontId="0" fillId="2" borderId="0" xfId="3" applyFont="1" applyFill="1" applyAlignment="1">
      <alignment horizontal="center" vertical="center"/>
    </xf>
    <xf numFmtId="170" fontId="2" fillId="0" borderId="4" xfId="0" applyNumberFormat="1" applyFont="1" applyFill="1" applyBorder="1" applyAlignment="1">
      <alignment horizontal="center" vertical="center"/>
    </xf>
    <xf numFmtId="0" fontId="8" fillId="0" borderId="6" xfId="0" applyFont="1" applyFill="1" applyBorder="1" applyAlignment="1">
      <alignment horizontal="left" vertical="center" wrapText="1"/>
    </xf>
    <xf numFmtId="0" fontId="2" fillId="0" borderId="4" xfId="0" applyFont="1" applyFill="1" applyBorder="1" applyAlignment="1">
      <alignment horizontal="left" wrapText="1"/>
    </xf>
    <xf numFmtId="0" fontId="2" fillId="0" borderId="4" xfId="0" applyFont="1" applyFill="1" applyBorder="1" applyAlignment="1">
      <alignment horizontal="center" wrapText="1"/>
    </xf>
    <xf numFmtId="9" fontId="2" fillId="2" borderId="4" xfId="0" applyNumberFormat="1" applyFont="1" applyFill="1" applyBorder="1" applyAlignment="1">
      <alignment horizontal="center" vertical="center"/>
    </xf>
    <xf numFmtId="0" fontId="2" fillId="2" borderId="4" xfId="0" applyFont="1" applyFill="1" applyBorder="1" applyAlignment="1">
      <alignment horizontal="center" vertical="center"/>
    </xf>
    <xf numFmtId="0" fontId="0" fillId="0" borderId="0" xfId="0" applyFont="1" applyFill="1" applyAlignment="1">
      <alignment horizontal="center"/>
    </xf>
    <xf numFmtId="9" fontId="2" fillId="2" borderId="0" xfId="3" applyFont="1" applyFill="1" applyAlignment="1">
      <alignment horizontal="center"/>
    </xf>
    <xf numFmtId="9" fontId="2" fillId="14" borderId="4" xfId="0" applyNumberFormat="1" applyFont="1" applyFill="1" applyBorder="1" applyAlignment="1">
      <alignment horizontal="center" wrapText="1"/>
    </xf>
    <xf numFmtId="0" fontId="8" fillId="2" borderId="4" xfId="0" applyFont="1" applyFill="1" applyBorder="1"/>
    <xf numFmtId="0" fontId="2" fillId="2" borderId="14" xfId="0" applyFont="1" applyFill="1" applyBorder="1" applyAlignment="1">
      <alignment horizontal="left" vertical="center" wrapText="1"/>
    </xf>
    <xf numFmtId="0" fontId="2" fillId="14" borderId="4" xfId="0" applyFont="1" applyFill="1" applyBorder="1"/>
    <xf numFmtId="0" fontId="2" fillId="14" borderId="4" xfId="0" applyFont="1" applyFill="1" applyBorder="1" applyAlignment="1">
      <alignment horizontal="left"/>
    </xf>
    <xf numFmtId="0" fontId="6" fillId="14" borderId="0" xfId="0" applyFont="1" applyFill="1" applyBorder="1" applyAlignment="1">
      <alignment horizontal="center" vertical="center" wrapText="1"/>
    </xf>
    <xf numFmtId="0" fontId="7" fillId="12" borderId="0" xfId="0" applyFont="1" applyFill="1" applyBorder="1" applyAlignment="1">
      <alignment horizontal="center" vertical="top" wrapText="1"/>
    </xf>
    <xf numFmtId="0" fontId="6" fillId="14" borderId="0" xfId="0" applyFont="1" applyFill="1" applyBorder="1" applyAlignment="1">
      <alignment vertical="center"/>
    </xf>
    <xf numFmtId="0" fontId="2" fillId="9" borderId="0" xfId="0" applyFont="1" applyFill="1" applyBorder="1" applyAlignment="1">
      <alignment horizontal="left" vertical="center" wrapText="1"/>
    </xf>
    <xf numFmtId="0" fontId="2" fillId="14" borderId="0" xfId="0" applyFont="1" applyFill="1" applyBorder="1" applyAlignment="1">
      <alignment horizontal="center"/>
    </xf>
    <xf numFmtId="0" fontId="2" fillId="14" borderId="0" xfId="0" applyFont="1" applyFill="1" applyBorder="1" applyAlignment="1">
      <alignment horizontal="left" wrapText="1"/>
    </xf>
    <xf numFmtId="0" fontId="5" fillId="14" borderId="0" xfId="0" applyFont="1" applyFill="1" applyBorder="1" applyAlignment="1">
      <alignment horizontal="left" vertical="center" wrapText="1"/>
    </xf>
    <xf numFmtId="0" fontId="5" fillId="14" borderId="0" xfId="0" applyFont="1" applyFill="1" applyBorder="1" applyAlignment="1">
      <alignment horizontal="center" vertical="center" wrapText="1"/>
    </xf>
    <xf numFmtId="0" fontId="2" fillId="14" borderId="0" xfId="0" applyFont="1" applyFill="1" applyBorder="1" applyAlignment="1">
      <alignment horizontal="center" wrapText="1"/>
    </xf>
    <xf numFmtId="0" fontId="5" fillId="2" borderId="0" xfId="4" applyFont="1" applyFill="1" applyBorder="1" applyAlignment="1">
      <alignment horizontal="center" vertical="center" wrapText="1"/>
    </xf>
    <xf numFmtId="0" fontId="8" fillId="2" borderId="0" xfId="0" applyFont="1" applyFill="1" applyBorder="1" applyAlignment="1">
      <alignment horizontal="center" vertical="center"/>
    </xf>
    <xf numFmtId="0" fontId="2" fillId="14" borderId="0" xfId="0" applyFont="1" applyFill="1" applyBorder="1" applyAlignment="1">
      <alignment horizontal="center" vertical="center"/>
    </xf>
    <xf numFmtId="0" fontId="2" fillId="2" borderId="0" xfId="0" applyFont="1" applyFill="1" applyBorder="1" applyAlignment="1">
      <alignment horizontal="center" wrapText="1"/>
    </xf>
    <xf numFmtId="0" fontId="2" fillId="14" borderId="0" xfId="0" applyFont="1" applyFill="1" applyBorder="1" applyAlignment="1">
      <alignment horizontal="left"/>
    </xf>
    <xf numFmtId="0" fontId="2" fillId="14" borderId="0" xfId="0" applyFont="1" applyFill="1" applyBorder="1"/>
    <xf numFmtId="0" fontId="2" fillId="2" borderId="0" xfId="0" applyFont="1" applyFill="1" applyBorder="1" applyAlignment="1">
      <alignment horizontal="center" vertical="center"/>
    </xf>
    <xf numFmtId="0" fontId="3" fillId="2" borderId="0" xfId="0" applyFont="1" applyFill="1" applyBorder="1" applyAlignment="1">
      <alignment vertical="center"/>
    </xf>
    <xf numFmtId="0" fontId="2" fillId="2" borderId="0" xfId="0" applyFont="1" applyFill="1" applyAlignment="1">
      <alignment horizontal="center"/>
    </xf>
    <xf numFmtId="0" fontId="3" fillId="2" borderId="0" xfId="0" applyFont="1" applyFill="1" applyAlignment="1">
      <alignment vertical="center"/>
    </xf>
    <xf numFmtId="0" fontId="2" fillId="2" borderId="0" xfId="0" applyFont="1" applyFill="1"/>
    <xf numFmtId="0" fontId="3" fillId="2" borderId="0" xfId="0" applyFont="1" applyFill="1" applyAlignment="1">
      <alignment horizontal="left" vertical="center"/>
    </xf>
    <xf numFmtId="0" fontId="2" fillId="2" borderId="0" xfId="0" applyFont="1" applyFill="1" applyAlignment="1">
      <alignment horizontal="left"/>
    </xf>
    <xf numFmtId="0" fontId="2" fillId="2" borderId="0" xfId="0" applyFont="1" applyFill="1" applyAlignment="1">
      <alignment horizontal="center" vertical="center"/>
    </xf>
    <xf numFmtId="0" fontId="2" fillId="2" borderId="0" xfId="0" applyFont="1" applyFill="1" applyAlignment="1">
      <alignment horizontal="center" wrapText="1"/>
    </xf>
    <xf numFmtId="0" fontId="2" fillId="2" borderId="0" xfId="0" applyFont="1" applyFill="1" applyAlignment="1">
      <alignment horizontal="center" vertical="center" wrapText="1"/>
    </xf>
    <xf numFmtId="9" fontId="3" fillId="2" borderId="0" xfId="3" applyFont="1" applyFill="1" applyAlignment="1">
      <alignment vertical="center"/>
    </xf>
    <xf numFmtId="0" fontId="0" fillId="0" borderId="13" xfId="0" applyBorder="1" applyAlignment="1">
      <alignment vertical="center"/>
    </xf>
    <xf numFmtId="0" fontId="0" fillId="0" borderId="27" xfId="0" applyBorder="1" applyAlignment="1">
      <alignment vertical="center" wrapText="1"/>
    </xf>
    <xf numFmtId="0" fontId="0" fillId="0" borderId="29" xfId="0" applyFont="1" applyBorder="1" applyAlignment="1">
      <alignment horizontal="center" vertical="center" wrapText="1"/>
    </xf>
    <xf numFmtId="0" fontId="0" fillId="0" borderId="30" xfId="0" applyBorder="1" applyAlignment="1">
      <alignment vertical="center" wrapText="1"/>
    </xf>
    <xf numFmtId="0" fontId="0" fillId="0" borderId="29" xfId="0" applyBorder="1" applyAlignment="1">
      <alignment horizontal="center" vertical="center" wrapText="1"/>
    </xf>
    <xf numFmtId="0" fontId="0" fillId="0" borderId="4" xfId="0" applyBorder="1"/>
    <xf numFmtId="0" fontId="23" fillId="0" borderId="32" xfId="0" applyFont="1" applyBorder="1"/>
    <xf numFmtId="172" fontId="23" fillId="0" borderId="32" xfId="0" applyNumberFormat="1" applyFont="1" applyBorder="1"/>
    <xf numFmtId="0" fontId="24" fillId="0" borderId="32" xfId="0" applyFont="1" applyBorder="1"/>
    <xf numFmtId="0" fontId="25" fillId="2" borderId="32" xfId="0" applyFont="1" applyFill="1" applyBorder="1"/>
    <xf numFmtId="0" fontId="23" fillId="2" borderId="32" xfId="0" applyFont="1" applyFill="1" applyBorder="1"/>
    <xf numFmtId="0" fontId="24" fillId="2" borderId="32" xfId="0" applyFont="1" applyFill="1" applyBorder="1"/>
    <xf numFmtId="0" fontId="0" fillId="2" borderId="32" xfId="0" applyFill="1" applyBorder="1"/>
    <xf numFmtId="0" fontId="0" fillId="0" borderId="32" xfId="0" applyBorder="1"/>
    <xf numFmtId="0" fontId="0" fillId="0" borderId="34" xfId="0" applyBorder="1"/>
    <xf numFmtId="0" fontId="25" fillId="2" borderId="35" xfId="0" applyFont="1" applyFill="1" applyBorder="1"/>
    <xf numFmtId="0" fontId="23" fillId="2" borderId="35" xfId="0" applyFont="1" applyFill="1" applyBorder="1"/>
    <xf numFmtId="0" fontId="24" fillId="2" borderId="35" xfId="0" applyFont="1" applyFill="1" applyBorder="1"/>
    <xf numFmtId="0" fontId="24" fillId="0" borderId="35" xfId="0" applyFont="1" applyBorder="1"/>
    <xf numFmtId="0" fontId="23" fillId="0" borderId="0" xfId="0" applyFont="1" applyAlignment="1">
      <alignment horizontal="center" vertical="center" wrapText="1"/>
    </xf>
    <xf numFmtId="0" fontId="24" fillId="0" borderId="0" xfId="0" applyFont="1" applyAlignment="1">
      <alignment horizontal="center" vertical="center" wrapText="1"/>
    </xf>
    <xf numFmtId="0" fontId="2" fillId="2" borderId="0" xfId="0" applyFont="1" applyFill="1" applyBorder="1" applyAlignment="1">
      <alignment horizontal="center"/>
    </xf>
    <xf numFmtId="0" fontId="0" fillId="0" borderId="0" xfId="0" applyAlignment="1">
      <alignment horizontal="center"/>
    </xf>
    <xf numFmtId="169" fontId="5" fillId="0" borderId="4" xfId="6" applyNumberFormat="1" applyFont="1" applyFill="1" applyBorder="1" applyAlignment="1">
      <alignment horizontal="left" vertical="center"/>
    </xf>
    <xf numFmtId="168" fontId="8" fillId="2" borderId="4" xfId="0" applyNumberFormat="1" applyFont="1" applyFill="1" applyBorder="1" applyAlignment="1">
      <alignment horizontal="left"/>
    </xf>
    <xf numFmtId="0" fontId="3" fillId="4" borderId="1" xfId="0" applyFont="1" applyFill="1" applyBorder="1" applyAlignment="1">
      <alignment horizontal="center" vertical="center"/>
    </xf>
    <xf numFmtId="0" fontId="3" fillId="5" borderId="0" xfId="0" applyFont="1" applyFill="1" applyBorder="1" applyAlignment="1">
      <alignment horizontal="center" vertical="center"/>
    </xf>
    <xf numFmtId="0" fontId="3" fillId="6" borderId="19"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2" fillId="2" borderId="1" xfId="0" applyFont="1" applyFill="1" applyBorder="1" applyAlignment="1">
      <alignment horizontal="center" vertical="center"/>
    </xf>
    <xf numFmtId="0" fontId="5" fillId="2" borderId="7" xfId="0" applyFont="1" applyFill="1" applyBorder="1"/>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20" xfId="0" applyFont="1" applyFill="1" applyBorder="1" applyAlignment="1">
      <alignment horizontal="left" wrapText="1"/>
    </xf>
    <xf numFmtId="0" fontId="4" fillId="2" borderId="21" xfId="0" applyFont="1" applyFill="1" applyBorder="1" applyAlignment="1">
      <alignment horizontal="left" wrapText="1"/>
    </xf>
    <xf numFmtId="0" fontId="4" fillId="2" borderId="21" xfId="0" applyFont="1" applyFill="1" applyBorder="1" applyAlignment="1">
      <alignment horizontal="left"/>
    </xf>
    <xf numFmtId="0" fontId="4" fillId="2" borderId="22" xfId="0" applyFont="1" applyFill="1" applyBorder="1" applyAlignment="1">
      <alignment horizontal="left"/>
    </xf>
    <xf numFmtId="0" fontId="4" fillId="2" borderId="38" xfId="0" applyFont="1" applyFill="1" applyBorder="1" applyAlignment="1">
      <alignment horizontal="left" vertical="center"/>
    </xf>
    <xf numFmtId="0" fontId="4" fillId="2" borderId="39" xfId="0" applyFont="1" applyFill="1" applyBorder="1" applyAlignment="1">
      <alignment horizontal="left" vertical="center"/>
    </xf>
    <xf numFmtId="0" fontId="4" fillId="2" borderId="40" xfId="0" applyFont="1" applyFill="1" applyBorder="1" applyAlignment="1">
      <alignment horizontal="left" vertical="center"/>
    </xf>
    <xf numFmtId="0" fontId="4" fillId="2" borderId="36" xfId="0" applyFont="1" applyFill="1" applyBorder="1" applyAlignment="1">
      <alignment horizontal="left" wrapText="1"/>
    </xf>
    <xf numFmtId="0" fontId="4" fillId="2" borderId="37" xfId="0" applyFont="1" applyFill="1" applyBorder="1" applyAlignment="1">
      <alignment horizontal="left" wrapText="1"/>
    </xf>
    <xf numFmtId="0" fontId="7" fillId="12" borderId="15" xfId="0" applyFont="1" applyFill="1" applyBorder="1" applyAlignment="1">
      <alignment horizontal="center" vertical="top" wrapText="1"/>
    </xf>
    <xf numFmtId="0" fontId="7" fillId="12" borderId="16" xfId="0" applyFont="1" applyFill="1" applyBorder="1" applyAlignment="1">
      <alignment horizontal="center" vertical="top" wrapText="1"/>
    </xf>
    <xf numFmtId="0" fontId="7" fillId="12" borderId="13" xfId="0" applyFont="1" applyFill="1" applyBorder="1" applyAlignment="1">
      <alignment horizontal="center" vertical="top" wrapText="1"/>
    </xf>
    <xf numFmtId="0" fontId="2" fillId="2" borderId="1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7" fillId="12" borderId="15" xfId="0" applyFont="1" applyFill="1" applyBorder="1" applyAlignment="1">
      <alignment horizontal="left" vertical="top" wrapText="1"/>
    </xf>
    <xf numFmtId="0" fontId="7" fillId="12" borderId="16" xfId="0" applyFont="1" applyFill="1" applyBorder="1" applyAlignment="1">
      <alignment horizontal="left" vertical="top" wrapText="1"/>
    </xf>
    <xf numFmtId="0" fontId="6" fillId="14" borderId="15" xfId="0" applyFont="1" applyFill="1" applyBorder="1" applyAlignment="1">
      <alignment horizontal="center" vertical="center" wrapText="1"/>
    </xf>
    <xf numFmtId="0" fontId="6" fillId="14" borderId="13"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6" fillId="9" borderId="15" xfId="0" applyFont="1" applyFill="1" applyBorder="1" applyAlignment="1">
      <alignment horizontal="left" vertical="center" wrapText="1"/>
    </xf>
    <xf numFmtId="0" fontId="6" fillId="9" borderId="13" xfId="0" applyFont="1" applyFill="1" applyBorder="1" applyAlignment="1">
      <alignment horizontal="left" vertical="center" wrapText="1"/>
    </xf>
    <xf numFmtId="0" fontId="2" fillId="9" borderId="15" xfId="0" applyFont="1" applyFill="1" applyBorder="1" applyAlignment="1">
      <alignment horizontal="center" vertical="center" wrapText="1"/>
    </xf>
    <xf numFmtId="0" fontId="2" fillId="9" borderId="13" xfId="0" applyFont="1" applyFill="1" applyBorder="1" applyAlignment="1">
      <alignment horizontal="center" vertical="center" wrapText="1"/>
    </xf>
    <xf numFmtId="0" fontId="2" fillId="9" borderId="15" xfId="0" applyFont="1" applyFill="1" applyBorder="1" applyAlignment="1">
      <alignment horizontal="center"/>
    </xf>
    <xf numFmtId="0" fontId="2" fillId="9" borderId="13" xfId="0" applyFont="1" applyFill="1" applyBorder="1" applyAlignment="1">
      <alignment horizontal="center"/>
    </xf>
    <xf numFmtId="0" fontId="8" fillId="2" borderId="15"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13" borderId="15" xfId="0" applyFont="1" applyFill="1" applyBorder="1" applyAlignment="1">
      <alignment horizontal="center" vertical="center" wrapText="1"/>
    </xf>
    <xf numFmtId="0" fontId="5" fillId="13" borderId="13" xfId="0" applyFont="1" applyFill="1" applyBorder="1" applyAlignment="1">
      <alignment horizontal="center" vertical="center" wrapText="1"/>
    </xf>
    <xf numFmtId="0" fontId="5" fillId="2" borderId="15" xfId="4" applyFont="1" applyFill="1" applyBorder="1" applyAlignment="1">
      <alignment horizontal="center" vertical="center" wrapText="1"/>
    </xf>
    <xf numFmtId="0" fontId="5" fillId="2" borderId="13" xfId="4" applyFont="1" applyFill="1" applyBorder="1" applyAlignment="1">
      <alignment horizontal="center" vertical="center" wrapText="1"/>
    </xf>
    <xf numFmtId="0" fontId="7" fillId="12" borderId="4" xfId="0" applyFont="1" applyFill="1" applyBorder="1" applyAlignment="1">
      <alignment horizontal="center" vertical="top" wrapText="1"/>
    </xf>
    <xf numFmtId="0" fontId="3" fillId="2" borderId="19"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8" fillId="2" borderId="15" xfId="0" applyFont="1" applyFill="1" applyBorder="1" applyAlignment="1">
      <alignment horizontal="center" vertical="center"/>
    </xf>
    <xf numFmtId="0" fontId="8" fillId="2" borderId="13" xfId="0" applyFont="1" applyFill="1" applyBorder="1" applyAlignment="1">
      <alignment horizontal="center" vertical="center"/>
    </xf>
    <xf numFmtId="0" fontId="2" fillId="2" borderId="15"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0" fillId="0" borderId="31" xfId="0" applyBorder="1" applyAlignment="1">
      <alignment horizontal="left"/>
    </xf>
    <xf numFmtId="0" fontId="0" fillId="0" borderId="4" xfId="0" applyBorder="1" applyAlignment="1">
      <alignment horizontal="left"/>
    </xf>
    <xf numFmtId="0" fontId="0" fillId="0" borderId="33" xfId="0" applyBorder="1" applyAlignment="1">
      <alignment horizontal="left"/>
    </xf>
    <xf numFmtId="0" fontId="0" fillId="0" borderId="34" xfId="0" applyBorder="1" applyAlignment="1">
      <alignment horizontal="left"/>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0" fillId="0" borderId="26" xfId="0" applyBorder="1" applyAlignment="1">
      <alignment horizontal="center" vertical="center"/>
    </xf>
    <xf numFmtId="0" fontId="0" fillId="0" borderId="13" xfId="0" applyBorder="1" applyAlignment="1">
      <alignment horizontal="center" vertical="center"/>
    </xf>
    <xf numFmtId="0" fontId="0" fillId="0" borderId="28" xfId="0" applyBorder="1" applyAlignment="1">
      <alignment horizontal="center" vertical="center" wrapText="1"/>
    </xf>
    <xf numFmtId="0" fontId="0" fillId="0" borderId="29" xfId="0" applyBorder="1" applyAlignment="1">
      <alignment horizontal="center" vertical="center" wrapText="1"/>
    </xf>
  </cellXfs>
  <cellStyles count="7">
    <cellStyle name="Hipervínculo" xfId="6" builtinId="8"/>
    <cellStyle name="Millares" xfId="1" builtinId="3"/>
    <cellStyle name="Millares [0]" xfId="2" builtinId="6"/>
    <cellStyle name="Normal" xfId="0" builtinId="0"/>
    <cellStyle name="Normal 10" xfId="5"/>
    <cellStyle name="Normal 2" xfId="4"/>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25512</xdr:rowOff>
    </xdr:from>
    <xdr:to>
      <xdr:col>7</xdr:col>
      <xdr:colOff>285750</xdr:colOff>
      <xdr:row>8</xdr:row>
      <xdr:rowOff>25512</xdr:rowOff>
    </xdr:to>
    <xdr:sp macro="" textlink="">
      <xdr:nvSpPr>
        <xdr:cNvPr id="2" name="AutoShape 13"/>
        <xdr:cNvSpPr>
          <a:spLocks noChangeArrowheads="1"/>
        </xdr:cNvSpPr>
      </xdr:nvSpPr>
      <xdr:spPr bwMode="auto">
        <a:xfrm>
          <a:off x="0" y="25512"/>
          <a:ext cx="19688175" cy="14182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285750</xdr:colOff>
      <xdr:row>8</xdr:row>
      <xdr:rowOff>0</xdr:rowOff>
    </xdr:to>
    <xdr:sp macro="" textlink="">
      <xdr:nvSpPr>
        <xdr:cNvPr id="3" name="AutoShape 13"/>
        <xdr:cNvSpPr>
          <a:spLocks noChangeArrowheads="1"/>
        </xdr:cNvSpPr>
      </xdr:nvSpPr>
      <xdr:spPr bwMode="auto">
        <a:xfrm>
          <a:off x="0" y="0"/>
          <a:ext cx="19688175" cy="14182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285750</xdr:colOff>
      <xdr:row>8</xdr:row>
      <xdr:rowOff>0</xdr:rowOff>
    </xdr:to>
    <xdr:sp macro="" textlink="">
      <xdr:nvSpPr>
        <xdr:cNvPr id="4" name="AutoShape 13"/>
        <xdr:cNvSpPr>
          <a:spLocks noChangeArrowheads="1"/>
        </xdr:cNvSpPr>
      </xdr:nvSpPr>
      <xdr:spPr bwMode="auto">
        <a:xfrm>
          <a:off x="0" y="0"/>
          <a:ext cx="19688175" cy="14182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480122</xdr:colOff>
      <xdr:row>0</xdr:row>
      <xdr:rowOff>14531</xdr:rowOff>
    </xdr:from>
    <xdr:to>
      <xdr:col>0</xdr:col>
      <xdr:colOff>923975</xdr:colOff>
      <xdr:row>2</xdr:row>
      <xdr:rowOff>109781</xdr:rowOff>
    </xdr:to>
    <xdr:pic>
      <xdr:nvPicPr>
        <xdr:cNvPr id="5" name="1 Imagen" descr="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122" y="14531"/>
          <a:ext cx="443853" cy="51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ana.blanco.ELC/Desktop/OFICINA%20ASESORA%20DE%20PLANEACION%20Y%20SISTEMAS%20ELC/SGC/TRAZABILIDAD%20MATRIZ%20DE%20INDICADORES%20CONSOLIDADA/GESTI&#211;N%20FINANCIERA/MIG_COSTOS_GASTOS_211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iana.blanco.ELC/Desktop/OFICINA%20ASESORA%20DE%20PLANEACION%20Y%20SISTEMAS%20ELC/SGC/TRAZABILIDAD%20MATRIZ%20DE%20INDICADORES%20CONSOLIDADA/GESTI&#211;N%20FINANCIERA/MIGFNRA_0507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iana.blanco.ELC/Desktop/OFICINA%20ASESORA%20DE%20PLANEACION%20Y%20SISTEMAS%20ELC/SGC/TRAZABILIDAD%20MATRIZ%20DE%20INDICADORES%20CONSOLIDADA/MATRIZ%20SISTEMA%20DE%20MEDICI&#211;N/MIG_4_2019_2609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iana.blanco.ELC/Desktop/OFICINA%20ASESORA%20DE%20PLANEACION%20Y%20SISTEMAS%20ELC/SGC/TRAZABILIDAD%20MATRIZ%20DE%20INDICADORES%20CONSOLIDADA/GESTI&#211;N%20AMBIENTAL/Datos%20generaci&#243;n%20de%20residuos%20peligroso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INDICADORES"/>
      <sheetName val="LISTA DE INDICADORES"/>
      <sheetName val="INFORMACIÓN ADICIONAL"/>
      <sheetName val="Hoja1"/>
    </sheetNames>
    <sheetDataSet>
      <sheetData sheetId="0"/>
      <sheetData sheetId="1"/>
      <sheetData sheetId="2"/>
      <sheetData sheetId="3">
        <row r="9">
          <cell r="AG9" t="str">
            <v>RESULTADOS FAVORABLES</v>
          </cell>
        </row>
        <row r="10">
          <cell r="AG10" t="str">
            <v>RESULTADOS FAVORABLES</v>
          </cell>
        </row>
        <row r="11">
          <cell r="AG11" t="str">
            <v>RESULTADOS FAVORABLES</v>
          </cell>
        </row>
        <row r="14">
          <cell r="AG14" t="str">
            <v xml:space="preserve">OPORTUNIDAD DE MEJORA </v>
          </cell>
        </row>
        <row r="15">
          <cell r="AG15" t="str">
            <v xml:space="preserve">OPORTUNIDAD DE MEJORA </v>
          </cell>
        </row>
        <row r="16">
          <cell r="AG16" t="str">
            <v>RESULTADOS FAVORABLES</v>
          </cell>
        </row>
        <row r="20">
          <cell r="AG20" t="str">
            <v>ACCIÓN CORRECTIVA</v>
          </cell>
        </row>
        <row r="21">
          <cell r="AG21" t="str">
            <v>RESULTADOS FAVORABLES</v>
          </cell>
        </row>
        <row r="22">
          <cell r="AG22" t="str">
            <v>ACCIÓN CORRECTIVA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25042018 (2)"/>
      <sheetName val="MIG MARZO 2019"/>
      <sheetName val="Indicadores Costos"/>
      <sheetName val="ESF ENE 2019"/>
      <sheetName val="ER ENE 2019"/>
      <sheetName val="ESF FEB 2019"/>
      <sheetName val="ER FEB 2019"/>
      <sheetName val="ER MARZO 2019"/>
      <sheetName val="ESF MARZO 2019"/>
      <sheetName val="BP MARZO 2019"/>
      <sheetName val="Presup -pasiva gastos marzo"/>
      <sheetName val="Presup - activa ingresos marzo"/>
    </sheetNames>
    <sheetDataSet>
      <sheetData sheetId="0"/>
      <sheetData sheetId="1"/>
      <sheetData sheetId="2"/>
      <sheetData sheetId="3"/>
      <sheetData sheetId="4"/>
      <sheetData sheetId="5"/>
      <sheetData sheetId="6"/>
      <sheetData sheetId="7"/>
      <sheetData sheetId="8"/>
      <sheetData sheetId="9"/>
      <sheetData sheetId="10"/>
      <sheetData sheetId="11">
        <row r="31">
          <cell r="F31">
            <v>1000000000</v>
          </cell>
          <cell r="I31">
            <v>54843537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INDICADORES"/>
      <sheetName val="INFORMACIÓN ADICIONAL"/>
      <sheetName val="Hoja1"/>
    </sheetNames>
    <sheetDataSet>
      <sheetData sheetId="0"/>
      <sheetData sheetId="1">
        <row r="17">
          <cell r="F17" t="str">
            <v>ACCIÓN CORRECTIVA</v>
          </cell>
          <cell r="L17" t="str">
            <v>ACCIÓN CORRECTIVA</v>
          </cell>
          <cell r="X17" t="str">
            <v>ACCIÓN CORRECTIVA</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ólidos contaminados"/>
      <sheetName val="Placas filtrantes"/>
      <sheetName val="Pintura"/>
      <sheetName val="Otros respel"/>
    </sheetNames>
    <sheetDataSet>
      <sheetData sheetId="0">
        <row r="49">
          <cell r="D49">
            <v>10</v>
          </cell>
        </row>
        <row r="56">
          <cell r="D56">
            <v>5.8999999999999995</v>
          </cell>
        </row>
        <row r="64">
          <cell r="D64">
            <v>6.5</v>
          </cell>
        </row>
        <row r="66">
          <cell r="D66">
            <v>14.85</v>
          </cell>
        </row>
        <row r="69">
          <cell r="D69">
            <v>12.450000000000001</v>
          </cell>
        </row>
        <row r="81">
          <cell r="D81">
            <v>43.95</v>
          </cell>
        </row>
      </sheetData>
      <sheetData sheetId="1">
        <row r="47">
          <cell r="D47">
            <v>116</v>
          </cell>
        </row>
        <row r="53">
          <cell r="D53">
            <v>17.8</v>
          </cell>
        </row>
        <row r="59">
          <cell r="D59">
            <v>34.799999999999997</v>
          </cell>
        </row>
        <row r="68">
          <cell r="D68">
            <v>199.7</v>
          </cell>
        </row>
        <row r="72">
          <cell r="D72">
            <v>52.8</v>
          </cell>
        </row>
        <row r="84">
          <cell r="D84">
            <v>172.54999999999998</v>
          </cell>
        </row>
      </sheetData>
      <sheetData sheetId="2"/>
      <sheetData sheetId="3">
        <row r="19">
          <cell r="C19">
            <v>1</v>
          </cell>
        </row>
        <row r="22">
          <cell r="C22">
            <v>1</v>
          </cell>
        </row>
        <row r="24">
          <cell r="C24">
            <v>0</v>
          </cell>
        </row>
        <row r="26">
          <cell r="C26">
            <v>3.2</v>
          </cell>
        </row>
        <row r="28">
          <cell r="C28">
            <v>5.25</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07"/>
  <sheetViews>
    <sheetView tabSelected="1" topLeftCell="G12" zoomScale="106" zoomScaleNormal="106" workbookViewId="0">
      <selection activeCell="H12" sqref="H12"/>
    </sheetView>
  </sheetViews>
  <sheetFormatPr baseColWidth="10" defaultRowHeight="15" x14ac:dyDescent="0.25"/>
  <cols>
    <col min="1" max="1" width="21.42578125" customWidth="1"/>
    <col min="3" max="3" width="38.85546875" customWidth="1"/>
    <col min="4" max="4" width="11.42578125" customWidth="1"/>
    <col min="5" max="5" width="26.5703125" bestFit="1" customWidth="1"/>
    <col min="7" max="7" width="63" bestFit="1" customWidth="1"/>
    <col min="8" max="8" width="21.85546875" customWidth="1"/>
    <col min="9" max="9" width="17" customWidth="1"/>
    <col min="10" max="10" width="18.5703125" customWidth="1"/>
    <col min="12" max="12" width="18.85546875" customWidth="1"/>
    <col min="13" max="13" width="17.28515625" customWidth="1"/>
    <col min="14" max="14" width="20.5703125" customWidth="1"/>
    <col min="16" max="16" width="21.7109375" customWidth="1"/>
    <col min="17" max="17" width="16.42578125" customWidth="1"/>
    <col min="18" max="18" width="24.28515625" customWidth="1"/>
    <col min="20" max="20" width="73.28515625" bestFit="1" customWidth="1"/>
    <col min="22" max="22" width="39.5703125" bestFit="1" customWidth="1"/>
    <col min="24" max="24" width="25.85546875" customWidth="1"/>
    <col min="26" max="26" width="19.42578125" customWidth="1"/>
    <col min="28" max="28" width="20.7109375" customWidth="1"/>
    <col min="30" max="30" width="22.5703125" customWidth="1"/>
    <col min="31" max="31" width="18.42578125" customWidth="1"/>
    <col min="32" max="32" width="31.85546875" customWidth="1"/>
    <col min="33" max="33" width="16.5703125" customWidth="1"/>
    <col min="34" max="34" width="29.140625" customWidth="1"/>
    <col min="35" max="35" width="19.5703125" customWidth="1"/>
    <col min="36" max="36" width="23.7109375" customWidth="1"/>
    <col min="37" max="37" width="20.5703125" customWidth="1"/>
    <col min="38" max="38" width="25.140625" customWidth="1"/>
    <col min="40" max="40" width="39.140625" bestFit="1" customWidth="1"/>
    <col min="42" max="42" width="15" customWidth="1"/>
    <col min="44" max="44" width="25" style="378" customWidth="1"/>
    <col min="45" max="45" width="42.7109375" customWidth="1"/>
  </cols>
  <sheetData>
    <row r="1" spans="1:45" ht="15.75" customHeight="1" thickBot="1" x14ac:dyDescent="0.3">
      <c r="A1" s="385"/>
      <c r="B1" s="424" t="s">
        <v>0</v>
      </c>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393" t="s">
        <v>1</v>
      </c>
      <c r="AJ1" s="394"/>
      <c r="AK1" s="394"/>
      <c r="AL1" s="394"/>
      <c r="AM1" s="394"/>
      <c r="AN1" s="394"/>
      <c r="AO1" s="394"/>
      <c r="AP1" s="394"/>
      <c r="AQ1" s="394"/>
      <c r="AR1" s="394"/>
      <c r="AS1" s="395"/>
    </row>
    <row r="2" spans="1:45" ht="16.5" thickBot="1" x14ac:dyDescent="0.3">
      <c r="A2" s="385"/>
      <c r="B2" s="424"/>
      <c r="C2" s="425"/>
      <c r="D2" s="425"/>
      <c r="E2" s="425"/>
      <c r="F2" s="425"/>
      <c r="G2" s="425"/>
      <c r="H2" s="425"/>
      <c r="I2" s="425"/>
      <c r="J2" s="425"/>
      <c r="K2" s="425"/>
      <c r="L2" s="425"/>
      <c r="M2" s="425"/>
      <c r="N2" s="425"/>
      <c r="O2" s="425"/>
      <c r="P2" s="425"/>
      <c r="Q2" s="425"/>
      <c r="R2" s="425"/>
      <c r="S2" s="425"/>
      <c r="T2" s="425"/>
      <c r="U2" s="425"/>
      <c r="V2" s="425"/>
      <c r="W2" s="425"/>
      <c r="X2" s="425"/>
      <c r="Y2" s="425"/>
      <c r="Z2" s="425"/>
      <c r="AA2" s="425"/>
      <c r="AB2" s="425"/>
      <c r="AC2" s="425"/>
      <c r="AD2" s="425"/>
      <c r="AE2" s="425"/>
      <c r="AF2" s="425"/>
      <c r="AG2" s="425"/>
      <c r="AH2" s="425"/>
      <c r="AI2" s="393" t="s">
        <v>2</v>
      </c>
      <c r="AJ2" s="394"/>
      <c r="AK2" s="394"/>
      <c r="AL2" s="394"/>
      <c r="AM2" s="394"/>
      <c r="AN2" s="394"/>
      <c r="AO2" s="394"/>
      <c r="AP2" s="394"/>
      <c r="AQ2" s="394"/>
      <c r="AR2" s="394"/>
      <c r="AS2" s="395"/>
    </row>
    <row r="3" spans="1:45" ht="34.5" customHeight="1" thickBot="1" x14ac:dyDescent="0.3">
      <c r="A3" s="386"/>
      <c r="B3" s="387" t="s">
        <v>3</v>
      </c>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1"/>
      <c r="AI3" s="389" t="s">
        <v>4</v>
      </c>
      <c r="AJ3" s="390"/>
      <c r="AK3" s="391"/>
      <c r="AL3" s="391"/>
      <c r="AM3" s="391"/>
      <c r="AN3" s="392"/>
      <c r="AO3" s="396" t="s">
        <v>5</v>
      </c>
      <c r="AP3" s="396"/>
      <c r="AQ3" s="396"/>
      <c r="AR3" s="396"/>
      <c r="AS3" s="397"/>
    </row>
    <row r="4" spans="1:45" ht="48" thickBot="1" x14ac:dyDescent="0.3">
      <c r="A4" s="2" t="s">
        <v>6</v>
      </c>
      <c r="B4" s="3" t="s">
        <v>7</v>
      </c>
      <c r="C4" s="2" t="s">
        <v>8</v>
      </c>
      <c r="D4" s="3" t="s">
        <v>7</v>
      </c>
      <c r="E4" s="4" t="s">
        <v>9</v>
      </c>
      <c r="F4" s="4" t="s">
        <v>7</v>
      </c>
      <c r="G4" s="2" t="s">
        <v>10</v>
      </c>
      <c r="H4" s="5" t="s">
        <v>11</v>
      </c>
      <c r="I4" s="5" t="s">
        <v>12</v>
      </c>
      <c r="J4" s="6" t="s">
        <v>13</v>
      </c>
      <c r="K4" s="6" t="s">
        <v>14</v>
      </c>
      <c r="L4" s="2" t="s">
        <v>15</v>
      </c>
      <c r="M4" s="6" t="s">
        <v>16</v>
      </c>
      <c r="N4" s="7" t="s">
        <v>17</v>
      </c>
      <c r="O4" s="7" t="s">
        <v>18</v>
      </c>
      <c r="P4" s="7" t="s">
        <v>19</v>
      </c>
      <c r="Q4" s="7" t="s">
        <v>20</v>
      </c>
      <c r="R4" s="7" t="s">
        <v>19</v>
      </c>
      <c r="S4" s="7" t="s">
        <v>21</v>
      </c>
      <c r="T4" s="7" t="s">
        <v>19</v>
      </c>
      <c r="U4" s="7" t="s">
        <v>22</v>
      </c>
      <c r="V4" s="7" t="s">
        <v>19</v>
      </c>
      <c r="W4" s="7" t="s">
        <v>23</v>
      </c>
      <c r="X4" s="7" t="s">
        <v>19</v>
      </c>
      <c r="Y4" s="7" t="s">
        <v>24</v>
      </c>
      <c r="Z4" s="7" t="s">
        <v>19</v>
      </c>
      <c r="AA4" s="7" t="s">
        <v>25</v>
      </c>
      <c r="AB4" s="7" t="s">
        <v>19</v>
      </c>
      <c r="AC4" s="7" t="s">
        <v>26</v>
      </c>
      <c r="AD4" s="7" t="s">
        <v>19</v>
      </c>
      <c r="AE4" s="7" t="s">
        <v>27</v>
      </c>
      <c r="AF4" s="7" t="s">
        <v>19</v>
      </c>
      <c r="AG4" s="7" t="s">
        <v>28</v>
      </c>
      <c r="AH4" s="7" t="s">
        <v>19</v>
      </c>
      <c r="AI4" s="8" t="s">
        <v>29</v>
      </c>
      <c r="AJ4" s="8" t="s">
        <v>19</v>
      </c>
      <c r="AK4" s="8" t="s">
        <v>30</v>
      </c>
      <c r="AL4" s="8" t="s">
        <v>19</v>
      </c>
      <c r="AM4" s="9" t="s">
        <v>31</v>
      </c>
      <c r="AN4" s="10" t="s">
        <v>32</v>
      </c>
      <c r="AO4" s="381" t="s">
        <v>33</v>
      </c>
      <c r="AP4" s="382" t="s">
        <v>34</v>
      </c>
      <c r="AQ4" s="383" t="s">
        <v>35</v>
      </c>
      <c r="AR4" s="384" t="s">
        <v>36</v>
      </c>
      <c r="AS4" s="384" t="s">
        <v>37</v>
      </c>
    </row>
    <row r="5" spans="1:45" ht="225" x14ac:dyDescent="0.25">
      <c r="A5" s="11" t="s">
        <v>38</v>
      </c>
      <c r="B5" s="12" t="s">
        <v>39</v>
      </c>
      <c r="C5" s="13" t="s">
        <v>40</v>
      </c>
      <c r="D5" s="14" t="s">
        <v>41</v>
      </c>
      <c r="E5" s="14" t="s">
        <v>42</v>
      </c>
      <c r="F5" s="15" t="s">
        <v>43</v>
      </c>
      <c r="G5" s="16" t="s">
        <v>44</v>
      </c>
      <c r="H5" s="16" t="s">
        <v>45</v>
      </c>
      <c r="I5" s="17" t="s">
        <v>46</v>
      </c>
      <c r="J5" s="17" t="s">
        <v>47</v>
      </c>
      <c r="K5" s="17" t="s">
        <v>48</v>
      </c>
      <c r="L5" s="17" t="s">
        <v>49</v>
      </c>
      <c r="M5" s="18" t="s">
        <v>50</v>
      </c>
      <c r="N5" s="18" t="s">
        <v>50</v>
      </c>
      <c r="O5" s="19">
        <f>151736413/2573428142</f>
        <v>5.8962754981794242E-2</v>
      </c>
      <c r="P5" s="20" t="s">
        <v>51</v>
      </c>
      <c r="Q5" s="21">
        <f>323778082/2366626819</f>
        <v>0.13680994375649386</v>
      </c>
      <c r="R5" s="20" t="s">
        <v>52</v>
      </c>
      <c r="S5" s="21">
        <f>264293037/2234588239</f>
        <v>0.11827370805382638</v>
      </c>
      <c r="T5" s="20" t="s">
        <v>53</v>
      </c>
      <c r="U5" s="22">
        <f>312382901/3107636255</f>
        <v>0.10052106339581883</v>
      </c>
      <c r="V5" s="17" t="s">
        <v>54</v>
      </c>
      <c r="W5" s="21">
        <f>266631286/2852488331</f>
        <v>9.3473225850682712E-2</v>
      </c>
      <c r="X5" s="23" t="s">
        <v>55</v>
      </c>
      <c r="Y5" s="21">
        <f>215044259/3203689268</f>
        <v>6.7123943994183893E-2</v>
      </c>
      <c r="Z5" s="23" t="s">
        <v>56</v>
      </c>
      <c r="AA5" s="21">
        <f>259081806/2931793114</f>
        <v>8.8369743677622944E-2</v>
      </c>
      <c r="AB5" s="23" t="s">
        <v>57</v>
      </c>
      <c r="AC5" s="21">
        <f>215571684/3078861278</f>
        <v>7.0016692710505424E-2</v>
      </c>
      <c r="AD5" s="23" t="s">
        <v>58</v>
      </c>
      <c r="AE5" s="21">
        <f>412640200/4589139558</f>
        <v>8.9916681500928977E-2</v>
      </c>
      <c r="AF5" s="23" t="s">
        <v>59</v>
      </c>
      <c r="AG5" s="24"/>
      <c r="AH5" s="25"/>
      <c r="AI5" s="24"/>
      <c r="AJ5" s="25"/>
      <c r="AK5" s="24"/>
      <c r="AL5" s="25"/>
      <c r="AM5" s="18" t="s">
        <v>60</v>
      </c>
      <c r="AN5" s="18" t="s">
        <v>61</v>
      </c>
      <c r="AO5" s="18"/>
      <c r="AP5" s="26"/>
      <c r="AQ5" s="27"/>
      <c r="AR5" s="28" t="s">
        <v>62</v>
      </c>
      <c r="AS5" s="29" t="str">
        <f>+[1]Hoja1!$AG$15</f>
        <v xml:space="preserve">OPORTUNIDAD DE MEJORA </v>
      </c>
    </row>
    <row r="6" spans="1:45" ht="409.5" x14ac:dyDescent="0.25">
      <c r="A6" s="11" t="s">
        <v>38</v>
      </c>
      <c r="B6" s="12"/>
      <c r="C6" s="13" t="s">
        <v>40</v>
      </c>
      <c r="D6" s="14"/>
      <c r="E6" s="14" t="s">
        <v>42</v>
      </c>
      <c r="F6" s="15" t="s">
        <v>63</v>
      </c>
      <c r="G6" s="30" t="s">
        <v>64</v>
      </c>
      <c r="H6" s="16" t="s">
        <v>65</v>
      </c>
      <c r="I6" s="31" t="s">
        <v>66</v>
      </c>
      <c r="J6" s="32" t="s">
        <v>67</v>
      </c>
      <c r="K6" s="33" t="s">
        <v>68</v>
      </c>
      <c r="L6" s="17" t="s">
        <v>49</v>
      </c>
      <c r="M6" s="27" t="s">
        <v>69</v>
      </c>
      <c r="N6" s="27" t="s">
        <v>69</v>
      </c>
      <c r="O6" s="34">
        <f>3/3</f>
        <v>1</v>
      </c>
      <c r="P6" s="32" t="s">
        <v>70</v>
      </c>
      <c r="Q6" s="34">
        <f>4/4</f>
        <v>1</v>
      </c>
      <c r="R6" s="32" t="s">
        <v>71</v>
      </c>
      <c r="S6" s="35">
        <f>2/2</f>
        <v>1</v>
      </c>
      <c r="T6" s="36" t="s">
        <v>72</v>
      </c>
      <c r="U6" s="34">
        <f>6/6</f>
        <v>1</v>
      </c>
      <c r="V6" s="37" t="s">
        <v>73</v>
      </c>
      <c r="W6" s="34">
        <f>3/3</f>
        <v>1</v>
      </c>
      <c r="X6" s="32" t="s">
        <v>74</v>
      </c>
      <c r="Y6" s="34">
        <f>4/4</f>
        <v>1</v>
      </c>
      <c r="Z6" s="32" t="s">
        <v>75</v>
      </c>
      <c r="AA6" s="38">
        <f>5/5</f>
        <v>1</v>
      </c>
      <c r="AB6" s="32" t="s">
        <v>76</v>
      </c>
      <c r="AC6" s="34">
        <f>3/3</f>
        <v>1</v>
      </c>
      <c r="AD6" s="27" t="s">
        <v>77</v>
      </c>
      <c r="AE6" s="34">
        <f>3/3</f>
        <v>1</v>
      </c>
      <c r="AF6" s="27" t="s">
        <v>78</v>
      </c>
      <c r="AG6" s="34"/>
      <c r="AH6" s="39"/>
      <c r="AI6" s="34"/>
      <c r="AJ6" s="39"/>
      <c r="AK6" s="34"/>
      <c r="AL6" s="39"/>
      <c r="AM6" s="18" t="s">
        <v>60</v>
      </c>
      <c r="AN6" s="40">
        <v>1</v>
      </c>
      <c r="AO6" s="18"/>
      <c r="AP6" s="18"/>
      <c r="AQ6" s="41"/>
      <c r="AR6" s="42" t="s">
        <v>79</v>
      </c>
      <c r="AS6" s="43" t="str">
        <f t="shared" ref="AS6:AS11" si="0">IF($AE6&gt;=25%,"RESULTADOS FAVORABLES",IF($AE6&lt;12.5%,"ACCIÓN CORRECTIVA",IF($AE6&lt;24%,"OPORTUNIDAD DE MEJORA")))</f>
        <v>RESULTADOS FAVORABLES</v>
      </c>
    </row>
    <row r="7" spans="1:45" ht="225" x14ac:dyDescent="0.25">
      <c r="A7" s="11" t="s">
        <v>38</v>
      </c>
      <c r="B7" s="12"/>
      <c r="C7" s="13" t="s">
        <v>40</v>
      </c>
      <c r="D7" s="14"/>
      <c r="E7" s="14" t="s">
        <v>42</v>
      </c>
      <c r="F7" s="15" t="s">
        <v>80</v>
      </c>
      <c r="G7" s="39" t="s">
        <v>81</v>
      </c>
      <c r="H7" s="16" t="s">
        <v>82</v>
      </c>
      <c r="I7" s="31" t="s">
        <v>66</v>
      </c>
      <c r="J7" s="17" t="s">
        <v>83</v>
      </c>
      <c r="K7" s="17" t="s">
        <v>48</v>
      </c>
      <c r="L7" s="17" t="s">
        <v>49</v>
      </c>
      <c r="M7" s="18" t="s">
        <v>84</v>
      </c>
      <c r="N7" s="18" t="s">
        <v>84</v>
      </c>
      <c r="O7" s="40">
        <v>1</v>
      </c>
      <c r="P7" s="17" t="s">
        <v>85</v>
      </c>
      <c r="Q7" s="40" t="s">
        <v>86</v>
      </c>
      <c r="R7" s="17" t="s">
        <v>87</v>
      </c>
      <c r="S7" s="35" t="s">
        <v>86</v>
      </c>
      <c r="T7" s="36" t="s">
        <v>87</v>
      </c>
      <c r="U7" s="44">
        <v>0.60629999999999995</v>
      </c>
      <c r="V7" s="45" t="s">
        <v>88</v>
      </c>
      <c r="W7" s="46" t="s">
        <v>86</v>
      </c>
      <c r="X7" s="27" t="s">
        <v>89</v>
      </c>
      <c r="Y7" s="46">
        <v>0</v>
      </c>
      <c r="Z7" s="27" t="s">
        <v>90</v>
      </c>
      <c r="AA7" s="40">
        <v>0.64649999999999996</v>
      </c>
      <c r="AB7" s="17" t="s">
        <v>91</v>
      </c>
      <c r="AC7" s="17" t="s">
        <v>86</v>
      </c>
      <c r="AD7" s="27" t="s">
        <v>89</v>
      </c>
      <c r="AE7" s="47">
        <v>0</v>
      </c>
      <c r="AF7" s="27"/>
      <c r="AG7" s="48"/>
      <c r="AH7" s="16"/>
      <c r="AI7" s="48"/>
      <c r="AJ7" s="16"/>
      <c r="AK7" s="40"/>
      <c r="AL7" s="16"/>
      <c r="AM7" s="18" t="s">
        <v>60</v>
      </c>
      <c r="AN7" s="40">
        <v>1</v>
      </c>
      <c r="AO7" s="49"/>
      <c r="AP7" s="18"/>
      <c r="AQ7" s="18"/>
      <c r="AR7" s="50" t="s">
        <v>92</v>
      </c>
      <c r="AS7" s="51" t="str">
        <f t="shared" si="0"/>
        <v>ACCIÓN CORRECTIVA</v>
      </c>
    </row>
    <row r="8" spans="1:45" ht="165" x14ac:dyDescent="0.25">
      <c r="A8" s="11" t="s">
        <v>38</v>
      </c>
      <c r="B8" s="12"/>
      <c r="C8" s="13" t="s">
        <v>40</v>
      </c>
      <c r="D8" s="14" t="s">
        <v>93</v>
      </c>
      <c r="E8" s="14" t="s">
        <v>94</v>
      </c>
      <c r="F8" s="15" t="s">
        <v>95</v>
      </c>
      <c r="G8" s="39" t="s">
        <v>96</v>
      </c>
      <c r="H8" s="16" t="s">
        <v>97</v>
      </c>
      <c r="I8" s="31" t="s">
        <v>66</v>
      </c>
      <c r="J8" s="17" t="s">
        <v>98</v>
      </c>
      <c r="K8" s="17" t="s">
        <v>48</v>
      </c>
      <c r="L8" s="17" t="s">
        <v>49</v>
      </c>
      <c r="M8" s="17" t="s">
        <v>50</v>
      </c>
      <c r="N8" s="18" t="s">
        <v>84</v>
      </c>
      <c r="O8" s="40">
        <v>1</v>
      </c>
      <c r="P8" s="17" t="s">
        <v>99</v>
      </c>
      <c r="Q8" s="40" t="s">
        <v>86</v>
      </c>
      <c r="R8" s="17" t="s">
        <v>86</v>
      </c>
      <c r="S8" s="40" t="s">
        <v>86</v>
      </c>
      <c r="T8" s="45" t="s">
        <v>87</v>
      </c>
      <c r="U8" s="47">
        <v>1</v>
      </c>
      <c r="V8" s="16" t="s">
        <v>100</v>
      </c>
      <c r="W8" s="46" t="s">
        <v>86</v>
      </c>
      <c r="X8" s="17" t="s">
        <v>101</v>
      </c>
      <c r="Y8" s="34">
        <v>0</v>
      </c>
      <c r="Z8" s="27" t="s">
        <v>102</v>
      </c>
      <c r="AA8" s="47">
        <v>1</v>
      </c>
      <c r="AB8" s="16" t="s">
        <v>103</v>
      </c>
      <c r="AC8" s="47" t="s">
        <v>86</v>
      </c>
      <c r="AD8" s="17" t="s">
        <v>87</v>
      </c>
      <c r="AE8" s="47">
        <v>0</v>
      </c>
      <c r="AF8" s="47" t="s">
        <v>104</v>
      </c>
      <c r="AG8" s="45"/>
      <c r="AH8" s="52"/>
      <c r="AI8" s="17"/>
      <c r="AJ8" s="16"/>
      <c r="AK8" s="44"/>
      <c r="AL8" s="16"/>
      <c r="AM8" s="18" t="s">
        <v>60</v>
      </c>
      <c r="AN8" s="40">
        <v>1</v>
      </c>
      <c r="AO8" s="49"/>
      <c r="AP8" s="18"/>
      <c r="AQ8" s="18"/>
      <c r="AR8" s="50" t="s">
        <v>105</v>
      </c>
      <c r="AS8" s="51" t="str">
        <f t="shared" si="0"/>
        <v>ACCIÓN CORRECTIVA</v>
      </c>
    </row>
    <row r="9" spans="1:45" ht="409.5" x14ac:dyDescent="0.25">
      <c r="A9" s="11" t="s">
        <v>38</v>
      </c>
      <c r="B9" s="53" t="s">
        <v>106</v>
      </c>
      <c r="C9" s="13" t="s">
        <v>107</v>
      </c>
      <c r="D9" s="14" t="s">
        <v>108</v>
      </c>
      <c r="E9" s="14" t="s">
        <v>109</v>
      </c>
      <c r="F9" s="15" t="s">
        <v>110</v>
      </c>
      <c r="G9" s="30" t="s">
        <v>111</v>
      </c>
      <c r="H9" s="16" t="s">
        <v>112</v>
      </c>
      <c r="I9" s="31" t="s">
        <v>66</v>
      </c>
      <c r="J9" s="17" t="s">
        <v>113</v>
      </c>
      <c r="K9" s="31" t="s">
        <v>48</v>
      </c>
      <c r="L9" s="17" t="s">
        <v>49</v>
      </c>
      <c r="M9" s="18" t="s">
        <v>50</v>
      </c>
      <c r="N9" s="18" t="s">
        <v>50</v>
      </c>
      <c r="O9" s="38">
        <v>0</v>
      </c>
      <c r="P9" s="54" t="s">
        <v>114</v>
      </c>
      <c r="Q9" s="34">
        <f>57/65</f>
        <v>0.87692307692307692</v>
      </c>
      <c r="R9" s="52" t="s">
        <v>115</v>
      </c>
      <c r="S9" s="34">
        <f>14/74</f>
        <v>0.1891891891891892</v>
      </c>
      <c r="T9" s="52" t="s">
        <v>116</v>
      </c>
      <c r="U9" s="34">
        <v>0.53</v>
      </c>
      <c r="V9" s="55" t="s">
        <v>117</v>
      </c>
      <c r="W9" s="34">
        <v>0.36</v>
      </c>
      <c r="X9" s="44" t="s">
        <v>118</v>
      </c>
      <c r="Y9" s="34">
        <v>0.1</v>
      </c>
      <c r="Z9" s="44" t="s">
        <v>119</v>
      </c>
      <c r="AA9" s="34">
        <f>15/36</f>
        <v>0.41666666666666669</v>
      </c>
      <c r="AB9" s="27" t="s">
        <v>120</v>
      </c>
      <c r="AC9" s="34">
        <f>35/68</f>
        <v>0.51470588235294112</v>
      </c>
      <c r="AD9" s="27" t="s">
        <v>121</v>
      </c>
      <c r="AE9" s="34">
        <f>45/62</f>
        <v>0.72580645161290325</v>
      </c>
      <c r="AF9" s="27" t="s">
        <v>122</v>
      </c>
      <c r="AG9" s="56"/>
      <c r="AH9" s="57"/>
      <c r="AI9" s="56"/>
      <c r="AJ9" s="57"/>
      <c r="AK9" s="56"/>
      <c r="AL9" s="27"/>
      <c r="AM9" s="27" t="s">
        <v>60</v>
      </c>
      <c r="AN9" s="40">
        <v>1</v>
      </c>
      <c r="AO9" s="58"/>
      <c r="AP9" s="58"/>
      <c r="AQ9" s="59"/>
      <c r="AR9" s="42" t="s">
        <v>79</v>
      </c>
      <c r="AS9" s="43" t="str">
        <f t="shared" si="0"/>
        <v>RESULTADOS FAVORABLES</v>
      </c>
    </row>
    <row r="10" spans="1:45" ht="409.5" x14ac:dyDescent="0.25">
      <c r="A10" s="11" t="s">
        <v>38</v>
      </c>
      <c r="B10" s="53"/>
      <c r="C10" s="13" t="s">
        <v>107</v>
      </c>
      <c r="D10" s="14"/>
      <c r="E10" s="14" t="s">
        <v>109</v>
      </c>
      <c r="F10" s="15" t="s">
        <v>123</v>
      </c>
      <c r="G10" s="30" t="s">
        <v>124</v>
      </c>
      <c r="H10" s="16" t="s">
        <v>125</v>
      </c>
      <c r="I10" s="31" t="s">
        <v>66</v>
      </c>
      <c r="J10" s="17" t="s">
        <v>126</v>
      </c>
      <c r="K10" s="31" t="s">
        <v>48</v>
      </c>
      <c r="L10" s="17" t="s">
        <v>49</v>
      </c>
      <c r="M10" s="18" t="s">
        <v>50</v>
      </c>
      <c r="N10" s="18" t="s">
        <v>50</v>
      </c>
      <c r="O10" s="34">
        <f>6/6</f>
        <v>1</v>
      </c>
      <c r="P10" s="52" t="s">
        <v>127</v>
      </c>
      <c r="Q10" s="60">
        <f>12/12</f>
        <v>1</v>
      </c>
      <c r="R10" s="52" t="s">
        <v>128</v>
      </c>
      <c r="S10" s="60">
        <f>21/21</f>
        <v>1</v>
      </c>
      <c r="T10" s="52" t="s">
        <v>129</v>
      </c>
      <c r="U10" s="34">
        <v>1</v>
      </c>
      <c r="V10" s="55" t="s">
        <v>130</v>
      </c>
      <c r="W10" s="34">
        <v>1</v>
      </c>
      <c r="X10" s="44" t="s">
        <v>131</v>
      </c>
      <c r="Y10" s="34">
        <v>1</v>
      </c>
      <c r="Z10" s="44" t="s">
        <v>132</v>
      </c>
      <c r="AA10" s="34">
        <f>(55/55)</f>
        <v>1</v>
      </c>
      <c r="AB10" s="44" t="s">
        <v>133</v>
      </c>
      <c r="AC10" s="34">
        <f>(23/23)</f>
        <v>1</v>
      </c>
      <c r="AD10" s="44" t="s">
        <v>134</v>
      </c>
      <c r="AE10" s="34">
        <f>(44/44)</f>
        <v>1</v>
      </c>
      <c r="AF10" s="44" t="s">
        <v>135</v>
      </c>
      <c r="AG10" s="61"/>
      <c r="AH10" s="57"/>
      <c r="AI10" s="61"/>
      <c r="AJ10" s="57"/>
      <c r="AK10" s="61"/>
      <c r="AL10" s="27"/>
      <c r="AM10" s="27" t="s">
        <v>136</v>
      </c>
      <c r="AN10" s="46">
        <v>1</v>
      </c>
      <c r="AO10" s="62"/>
      <c r="AP10" s="62"/>
      <c r="AQ10" s="59"/>
      <c r="AR10" s="28" t="s">
        <v>137</v>
      </c>
      <c r="AS10" s="43" t="str">
        <f t="shared" si="0"/>
        <v>RESULTADOS FAVORABLES</v>
      </c>
    </row>
    <row r="11" spans="1:45" ht="360" x14ac:dyDescent="0.25">
      <c r="A11" s="11" t="s">
        <v>38</v>
      </c>
      <c r="B11" s="63"/>
      <c r="C11" s="13" t="s">
        <v>107</v>
      </c>
      <c r="D11" s="64" t="s">
        <v>138</v>
      </c>
      <c r="E11" s="65" t="s">
        <v>139</v>
      </c>
      <c r="F11" s="66" t="s">
        <v>140</v>
      </c>
      <c r="G11" s="65" t="s">
        <v>141</v>
      </c>
      <c r="H11" s="67" t="s">
        <v>142</v>
      </c>
      <c r="I11" s="68" t="s">
        <v>46</v>
      </c>
      <c r="J11" s="69" t="s">
        <v>143</v>
      </c>
      <c r="K11" s="68" t="s">
        <v>48</v>
      </c>
      <c r="L11" s="17" t="s">
        <v>49</v>
      </c>
      <c r="M11" s="70" t="s">
        <v>50</v>
      </c>
      <c r="N11" s="70" t="s">
        <v>50</v>
      </c>
      <c r="O11" s="46">
        <v>0</v>
      </c>
      <c r="P11" s="30" t="s">
        <v>144</v>
      </c>
      <c r="Q11" s="46">
        <v>0</v>
      </c>
      <c r="R11" s="30" t="s">
        <v>144</v>
      </c>
      <c r="S11" s="46">
        <f>0/16</f>
        <v>0</v>
      </c>
      <c r="T11" s="16" t="s">
        <v>145</v>
      </c>
      <c r="U11" s="34">
        <f>(8/16)</f>
        <v>0.5</v>
      </c>
      <c r="V11" s="27" t="s">
        <v>146</v>
      </c>
      <c r="W11" s="34">
        <f>(14/16)</f>
        <v>0.875</v>
      </c>
      <c r="X11" s="27" t="s">
        <v>147</v>
      </c>
      <c r="Y11" s="34">
        <f>(14/16)</f>
        <v>0.875</v>
      </c>
      <c r="Z11" s="27" t="s">
        <v>148</v>
      </c>
      <c r="AA11" s="34" t="s">
        <v>149</v>
      </c>
      <c r="AB11" s="27" t="s">
        <v>150</v>
      </c>
      <c r="AC11" s="34" t="s">
        <v>149</v>
      </c>
      <c r="AD11" s="27" t="s">
        <v>150</v>
      </c>
      <c r="AE11" s="34">
        <f>(16/16)</f>
        <v>1</v>
      </c>
      <c r="AF11" s="27" t="s">
        <v>151</v>
      </c>
      <c r="AG11" s="56"/>
      <c r="AH11" s="57"/>
      <c r="AI11" s="56"/>
      <c r="AJ11" s="57"/>
      <c r="AK11" s="56"/>
      <c r="AL11" s="27"/>
      <c r="AM11" s="18" t="s">
        <v>152</v>
      </c>
      <c r="AN11" s="46">
        <v>1</v>
      </c>
      <c r="AO11" s="62"/>
      <c r="AP11" s="62"/>
      <c r="AQ11" s="71"/>
      <c r="AR11" s="42" t="s">
        <v>79</v>
      </c>
      <c r="AS11" s="43" t="str">
        <f t="shared" si="0"/>
        <v>RESULTADOS FAVORABLES</v>
      </c>
    </row>
    <row r="12" spans="1:45" ht="285" x14ac:dyDescent="0.25">
      <c r="A12" s="72" t="s">
        <v>153</v>
      </c>
      <c r="B12" s="398" t="s">
        <v>154</v>
      </c>
      <c r="C12" s="73" t="s">
        <v>155</v>
      </c>
      <c r="D12" s="14" t="s">
        <v>156</v>
      </c>
      <c r="E12" s="14" t="s">
        <v>157</v>
      </c>
      <c r="F12" s="15" t="s">
        <v>158</v>
      </c>
      <c r="G12" s="16" t="s">
        <v>159</v>
      </c>
      <c r="H12" s="16" t="s">
        <v>160</v>
      </c>
      <c r="I12" s="17" t="s">
        <v>46</v>
      </c>
      <c r="J12" s="17" t="s">
        <v>161</v>
      </c>
      <c r="K12" s="17" t="s">
        <v>162</v>
      </c>
      <c r="L12" s="17" t="s">
        <v>163</v>
      </c>
      <c r="M12" s="17" t="s">
        <v>50</v>
      </c>
      <c r="N12" s="17" t="s">
        <v>50</v>
      </c>
      <c r="O12" s="74">
        <f>((1313994)/(13*33*8))</f>
        <v>382.86538461538464</v>
      </c>
      <c r="P12" s="16" t="s">
        <v>164</v>
      </c>
      <c r="Q12" s="74">
        <f>((1405476)/(19*28*8))</f>
        <v>330.23402255639098</v>
      </c>
      <c r="R12" s="16" t="s">
        <v>165</v>
      </c>
      <c r="S12" s="74">
        <f>((2602877)/(20*33*8))</f>
        <v>492.96912878787879</v>
      </c>
      <c r="T12" s="16" t="s">
        <v>166</v>
      </c>
      <c r="U12" s="74">
        <f>((3025614)/(20*33*8))</f>
        <v>573.03295454545457</v>
      </c>
      <c r="V12" s="16" t="s">
        <v>167</v>
      </c>
      <c r="W12" s="74">
        <f>((1753158)/(21*25*8))</f>
        <v>417.41857142857145</v>
      </c>
      <c r="X12" s="17" t="s">
        <v>168</v>
      </c>
      <c r="Y12" s="74">
        <f>((722496)/(14*20*8))</f>
        <v>322.54285714285714</v>
      </c>
      <c r="Z12" s="17" t="s">
        <v>169</v>
      </c>
      <c r="AA12" s="74">
        <f>((280392)/(10*10*8))</f>
        <v>350.49</v>
      </c>
      <c r="AB12" s="17" t="s">
        <v>170</v>
      </c>
      <c r="AC12" s="74">
        <f>((1353600)/(20*20*8))</f>
        <v>423</v>
      </c>
      <c r="AD12" s="17" t="s">
        <v>171</v>
      </c>
      <c r="AE12" s="74">
        <f>((3112440)/(24*20*8))</f>
        <v>810.53125</v>
      </c>
      <c r="AF12" s="17" t="s">
        <v>172</v>
      </c>
      <c r="AG12" s="75"/>
      <c r="AH12" s="16"/>
      <c r="AI12" s="75"/>
      <c r="AJ12" s="16"/>
      <c r="AK12" s="75"/>
      <c r="AL12" s="16"/>
      <c r="AM12" s="40">
        <v>0</v>
      </c>
      <c r="AN12" s="17" t="s">
        <v>173</v>
      </c>
      <c r="AO12" s="18"/>
      <c r="AP12" s="18"/>
      <c r="AQ12" s="41"/>
      <c r="AR12" s="42" t="s">
        <v>79</v>
      </c>
      <c r="AS12" s="43" t="str">
        <f>IF(AE12&gt;AC12,"RESULTADOS FAVORABLES",IF(AE12&lt;AC12,"ACCIÓN CORRECTIVA"))</f>
        <v>RESULTADOS FAVORABLES</v>
      </c>
    </row>
    <row r="13" spans="1:45" ht="225" x14ac:dyDescent="0.25">
      <c r="A13" s="72" t="s">
        <v>153</v>
      </c>
      <c r="B13" s="399"/>
      <c r="C13" s="73" t="s">
        <v>155</v>
      </c>
      <c r="D13" s="14" t="s">
        <v>174</v>
      </c>
      <c r="E13" s="14" t="s">
        <v>175</v>
      </c>
      <c r="F13" s="15" t="s">
        <v>176</v>
      </c>
      <c r="G13" s="16" t="s">
        <v>177</v>
      </c>
      <c r="H13" s="16" t="s">
        <v>178</v>
      </c>
      <c r="I13" s="17" t="s">
        <v>46</v>
      </c>
      <c r="J13" s="17" t="s">
        <v>179</v>
      </c>
      <c r="K13" s="17" t="s">
        <v>48</v>
      </c>
      <c r="L13" s="17" t="s">
        <v>163</v>
      </c>
      <c r="M13" s="17" t="s">
        <v>50</v>
      </c>
      <c r="N13" s="17" t="s">
        <v>50</v>
      </c>
      <c r="O13" s="76">
        <f>27/183</f>
        <v>0.14754098360655737</v>
      </c>
      <c r="P13" s="77" t="s">
        <v>180</v>
      </c>
      <c r="Q13" s="76">
        <f>71/342</f>
        <v>0.20760233918128654</v>
      </c>
      <c r="R13" s="77" t="s">
        <v>181</v>
      </c>
      <c r="S13" s="76">
        <f>126/625</f>
        <v>0.2016</v>
      </c>
      <c r="T13" s="77" t="s">
        <v>182</v>
      </c>
      <c r="U13" s="76">
        <f>66/608</f>
        <v>0.10855263157894737</v>
      </c>
      <c r="V13" s="78" t="s">
        <v>183</v>
      </c>
      <c r="W13" s="20">
        <f>111/608</f>
        <v>0.18256578947368421</v>
      </c>
      <c r="X13" s="78" t="s">
        <v>184</v>
      </c>
      <c r="Y13" s="20">
        <f>41/167</f>
        <v>0.24550898203592814</v>
      </c>
      <c r="Z13" s="78" t="s">
        <v>185</v>
      </c>
      <c r="AA13" s="20">
        <f>20/108</f>
        <v>0.18518518518518517</v>
      </c>
      <c r="AB13" s="78" t="s">
        <v>186</v>
      </c>
      <c r="AC13" s="20">
        <f>71/392</f>
        <v>0.18112244897959184</v>
      </c>
      <c r="AD13" s="78" t="s">
        <v>187</v>
      </c>
      <c r="AE13" s="20">
        <f>127/750</f>
        <v>0.16933333333333334</v>
      </c>
      <c r="AF13" s="78" t="s">
        <v>188</v>
      </c>
      <c r="AG13" s="79"/>
      <c r="AH13" s="16"/>
      <c r="AI13" s="79"/>
      <c r="AJ13" s="16"/>
      <c r="AK13" s="79"/>
      <c r="AL13" s="16"/>
      <c r="AM13" s="40">
        <v>0</v>
      </c>
      <c r="AN13" s="27" t="s">
        <v>189</v>
      </c>
      <c r="AO13" s="80"/>
      <c r="AP13" s="26"/>
      <c r="AQ13" s="81"/>
      <c r="AR13" s="50" t="s">
        <v>190</v>
      </c>
      <c r="AS13" s="29" t="str">
        <f>IF($AE13&lt;=15%,"RESULTADOS FAVORABLES",IF($AE13&gt;=18%,"ACCIÓN CORRECTIVA",IF($AE13&gt;=16%,"OPORTUNIDAD DE MEJORA")))</f>
        <v>OPORTUNIDAD DE MEJORA</v>
      </c>
    </row>
    <row r="14" spans="1:45" ht="242.25" x14ac:dyDescent="0.25">
      <c r="A14" s="72" t="s">
        <v>153</v>
      </c>
      <c r="B14" s="399"/>
      <c r="C14" s="73" t="s">
        <v>155</v>
      </c>
      <c r="D14" s="14"/>
      <c r="E14" s="14" t="s">
        <v>175</v>
      </c>
      <c r="F14" s="15" t="s">
        <v>191</v>
      </c>
      <c r="G14" s="16" t="s">
        <v>192</v>
      </c>
      <c r="H14" s="16" t="s">
        <v>193</v>
      </c>
      <c r="I14" s="17" t="s">
        <v>46</v>
      </c>
      <c r="J14" s="17" t="s">
        <v>194</v>
      </c>
      <c r="K14" s="17" t="s">
        <v>48</v>
      </c>
      <c r="L14" s="17" t="s">
        <v>163</v>
      </c>
      <c r="M14" s="17" t="s">
        <v>50</v>
      </c>
      <c r="N14" s="17" t="s">
        <v>50</v>
      </c>
      <c r="O14" s="82">
        <v>1.6000000000000001E-3</v>
      </c>
      <c r="P14" s="16" t="s">
        <v>195</v>
      </c>
      <c r="Q14" s="83">
        <v>1.9E-3</v>
      </c>
      <c r="R14" s="16" t="s">
        <v>196</v>
      </c>
      <c r="S14" s="83">
        <v>3.0999999999999999E-3</v>
      </c>
      <c r="T14" s="16" t="s">
        <v>196</v>
      </c>
      <c r="U14" s="83">
        <v>1.2999999999999999E-3</v>
      </c>
      <c r="V14" s="17" t="s">
        <v>197</v>
      </c>
      <c r="W14" s="83">
        <v>1.6000000000000001E-3</v>
      </c>
      <c r="X14" s="17" t="s">
        <v>198</v>
      </c>
      <c r="Y14" s="83">
        <v>1.9E-3</v>
      </c>
      <c r="Z14" s="17" t="s">
        <v>199</v>
      </c>
      <c r="AA14" s="83">
        <v>3.3E-3</v>
      </c>
      <c r="AB14" s="17" t="s">
        <v>200</v>
      </c>
      <c r="AC14" s="83">
        <v>3.0999999999999999E-3</v>
      </c>
      <c r="AD14" s="17" t="s">
        <v>201</v>
      </c>
      <c r="AE14" s="83">
        <v>4.4000000000000003E-3</v>
      </c>
      <c r="AF14" s="17" t="s">
        <v>202</v>
      </c>
      <c r="AG14" s="84"/>
      <c r="AH14" s="16"/>
      <c r="AI14" s="84"/>
      <c r="AJ14" s="16"/>
      <c r="AK14" s="84"/>
      <c r="AL14" s="16"/>
      <c r="AM14" s="40" t="s">
        <v>203</v>
      </c>
      <c r="AN14" s="27" t="s">
        <v>204</v>
      </c>
      <c r="AO14" s="18"/>
      <c r="AP14" s="18"/>
      <c r="AQ14" s="41"/>
      <c r="AR14" s="42" t="s">
        <v>79</v>
      </c>
      <c r="AS14" s="43" t="str">
        <f>IF($AE14&lt;=3%,"RESULTADOS FAVORABLES",IF($AE14&gt;=3.7%,"ACCIÓN CORRECTIVA",IF($AE14&gt;=3.5%,"OPORTUNIDAD DE MEJORA")))</f>
        <v>RESULTADOS FAVORABLES</v>
      </c>
    </row>
    <row r="15" spans="1:45" ht="300" x14ac:dyDescent="0.25">
      <c r="A15" s="72" t="s">
        <v>153</v>
      </c>
      <c r="B15" s="399"/>
      <c r="C15" s="73" t="s">
        <v>155</v>
      </c>
      <c r="D15" s="14"/>
      <c r="E15" s="14" t="s">
        <v>175</v>
      </c>
      <c r="F15" s="15" t="s">
        <v>205</v>
      </c>
      <c r="G15" s="16" t="s">
        <v>206</v>
      </c>
      <c r="H15" s="16" t="s">
        <v>207</v>
      </c>
      <c r="I15" s="17" t="s">
        <v>46</v>
      </c>
      <c r="J15" s="17" t="s">
        <v>208</v>
      </c>
      <c r="K15" s="17" t="s">
        <v>48</v>
      </c>
      <c r="L15" s="17" t="s">
        <v>163</v>
      </c>
      <c r="M15" s="17" t="s">
        <v>50</v>
      </c>
      <c r="N15" s="17" t="s">
        <v>50</v>
      </c>
      <c r="O15" s="83">
        <v>0.05</v>
      </c>
      <c r="P15" s="85" t="s">
        <v>209</v>
      </c>
      <c r="Q15" s="83" t="s">
        <v>210</v>
      </c>
      <c r="R15" s="85" t="s">
        <v>211</v>
      </c>
      <c r="S15" s="83">
        <v>0.02</v>
      </c>
      <c r="T15" s="85" t="s">
        <v>212</v>
      </c>
      <c r="U15" s="83">
        <v>0.28000000000000003</v>
      </c>
      <c r="V15" s="83" t="s">
        <v>213</v>
      </c>
      <c r="W15" s="83">
        <v>1.2E-2</v>
      </c>
      <c r="X15" s="83" t="s">
        <v>214</v>
      </c>
      <c r="Y15" s="83">
        <v>0.22</v>
      </c>
      <c r="Z15" s="83" t="s">
        <v>215</v>
      </c>
      <c r="AA15" s="83">
        <v>0</v>
      </c>
      <c r="AB15" s="83" t="s">
        <v>210</v>
      </c>
      <c r="AC15" s="83">
        <v>0</v>
      </c>
      <c r="AD15" s="83" t="s">
        <v>210</v>
      </c>
      <c r="AE15" s="83">
        <f>(6000/632220)</f>
        <v>9.4903672772136283E-3</v>
      </c>
      <c r="AF15" s="83" t="s">
        <v>216</v>
      </c>
      <c r="AG15" s="16"/>
      <c r="AH15" s="16"/>
      <c r="AI15" s="16"/>
      <c r="AJ15" s="16"/>
      <c r="AK15" s="16"/>
      <c r="AL15" s="16"/>
      <c r="AM15" s="40">
        <v>0</v>
      </c>
      <c r="AN15" s="27" t="s">
        <v>217</v>
      </c>
      <c r="AO15" s="18"/>
      <c r="AP15" s="18"/>
      <c r="AQ15" s="41"/>
      <c r="AR15" s="42" t="s">
        <v>79</v>
      </c>
      <c r="AS15" s="43" t="str">
        <f>IF($AE15&lt;=10%,"RESULTADOS FAVORABLES",IF($AE15&gt;10%,"ACCIÓN CORRECTIVA",IF($AE15&lt;=9%,"OPORTUNIDAD DE MEJORA")))</f>
        <v>RESULTADOS FAVORABLES</v>
      </c>
    </row>
    <row r="16" spans="1:45" ht="173.25" x14ac:dyDescent="0.25">
      <c r="A16" s="72" t="s">
        <v>153</v>
      </c>
      <c r="B16" s="399"/>
      <c r="C16" s="73" t="s">
        <v>155</v>
      </c>
      <c r="D16" s="14"/>
      <c r="E16" s="14" t="s">
        <v>218</v>
      </c>
      <c r="F16" s="15" t="s">
        <v>219</v>
      </c>
      <c r="G16" s="16" t="s">
        <v>220</v>
      </c>
      <c r="H16" s="16" t="s">
        <v>221</v>
      </c>
      <c r="I16" s="17" t="s">
        <v>66</v>
      </c>
      <c r="J16" s="17" t="s">
        <v>222</v>
      </c>
      <c r="K16" s="17" t="s">
        <v>48</v>
      </c>
      <c r="L16" s="17" t="s">
        <v>163</v>
      </c>
      <c r="M16" s="17" t="s">
        <v>50</v>
      </c>
      <c r="N16" s="17" t="s">
        <v>50</v>
      </c>
      <c r="O16" s="86">
        <f>1054542/1049465</f>
        <v>1.0048377030201103</v>
      </c>
      <c r="P16" s="87" t="s">
        <v>223</v>
      </c>
      <c r="Q16" s="86">
        <f>1393536/2231200</f>
        <v>0.62456794550017924</v>
      </c>
      <c r="R16" s="87" t="s">
        <v>224</v>
      </c>
      <c r="S16" s="86">
        <f>2553437/3372200</f>
        <v>0.75720212324298675</v>
      </c>
      <c r="T16" s="87" t="s">
        <v>225</v>
      </c>
      <c r="U16" s="86">
        <f>2639094/1744476</f>
        <v>1.5128290672958526</v>
      </c>
      <c r="V16" s="88" t="s">
        <v>226</v>
      </c>
      <c r="W16" s="86">
        <f>1554714/1426301</f>
        <v>1.0900321881566373</v>
      </c>
      <c r="X16" s="88" t="s">
        <v>226</v>
      </c>
      <c r="Y16" s="86">
        <f>718944/1163552</f>
        <v>0.61788729682902011</v>
      </c>
      <c r="Z16" s="88" t="s">
        <v>224</v>
      </c>
      <c r="AA16" s="86">
        <f>280392/271556</f>
        <v>1.0325384082841109</v>
      </c>
      <c r="AB16" s="17" t="s">
        <v>226</v>
      </c>
      <c r="AC16" s="86">
        <f>1353600/1345662</f>
        <v>1.0058989553097286</v>
      </c>
      <c r="AD16" s="17" t="s">
        <v>226</v>
      </c>
      <c r="AE16" s="86">
        <f>3112440/3366333</f>
        <v>0.92457876270707617</v>
      </c>
      <c r="AF16" s="17" t="s">
        <v>227</v>
      </c>
      <c r="AG16" s="89"/>
      <c r="AH16" s="16"/>
      <c r="AI16" s="89"/>
      <c r="AJ16" s="16"/>
      <c r="AK16" s="89"/>
      <c r="AL16" s="16"/>
      <c r="AM16" s="40">
        <v>0</v>
      </c>
      <c r="AN16" s="18" t="s">
        <v>228</v>
      </c>
      <c r="AO16" s="18"/>
      <c r="AP16" s="18"/>
      <c r="AQ16" s="41"/>
      <c r="AR16" s="42" t="s">
        <v>79</v>
      </c>
      <c r="AS16" s="43" t="str">
        <f>IF(AVERAGE(AA16,AC16,AE16)&gt;=90%,"RESULTADOS FAVORABLES",IF(AVERAGE(AA16,AC16,AE16)&lt;80%,"ACCIÓN CORRECTIVA",IF(AVERAGE(AA16,AC16,AE16)&lt;85%,"OPORTUNIDAD DE MEJORA")))</f>
        <v>RESULTADOS FAVORABLES</v>
      </c>
    </row>
    <row r="17" spans="1:45" ht="225" x14ac:dyDescent="0.25">
      <c r="A17" s="72" t="s">
        <v>153</v>
      </c>
      <c r="B17" s="399"/>
      <c r="C17" s="73" t="s">
        <v>155</v>
      </c>
      <c r="D17" s="14"/>
      <c r="E17" s="14" t="s">
        <v>218</v>
      </c>
      <c r="F17" s="15" t="s">
        <v>229</v>
      </c>
      <c r="G17" s="16" t="s">
        <v>230</v>
      </c>
      <c r="H17" s="16" t="s">
        <v>231</v>
      </c>
      <c r="I17" s="17" t="s">
        <v>66</v>
      </c>
      <c r="J17" s="17" t="s">
        <v>232</v>
      </c>
      <c r="K17" s="17" t="s">
        <v>48</v>
      </c>
      <c r="L17" s="17" t="s">
        <v>163</v>
      </c>
      <c r="M17" s="17" t="s">
        <v>50</v>
      </c>
      <c r="N17" s="17" t="s">
        <v>50</v>
      </c>
      <c r="O17" s="86">
        <f>258690/250000</f>
        <v>1.0347599999999999</v>
      </c>
      <c r="P17" s="16" t="s">
        <v>233</v>
      </c>
      <c r="Q17" s="86">
        <f>11940/12000</f>
        <v>0.995</v>
      </c>
      <c r="R17" s="16" t="s">
        <v>234</v>
      </c>
      <c r="S17" s="86">
        <f>49440/153000</f>
        <v>0.32313725490196077</v>
      </c>
      <c r="T17" s="16" t="s">
        <v>235</v>
      </c>
      <c r="U17" s="86">
        <f>386520/400000</f>
        <v>0.96630000000000005</v>
      </c>
      <c r="V17" s="17" t="s">
        <v>236</v>
      </c>
      <c r="W17" s="86">
        <f>198444/180000</f>
        <v>1.1024666666666667</v>
      </c>
      <c r="X17" s="17" t="s">
        <v>237</v>
      </c>
      <c r="Y17" s="86">
        <f>3552/3000</f>
        <v>1.1839999999999999</v>
      </c>
      <c r="Z17" s="17" t="s">
        <v>238</v>
      </c>
      <c r="AA17" s="86">
        <v>0</v>
      </c>
      <c r="AB17" s="17" t="s">
        <v>239</v>
      </c>
      <c r="AC17" s="86">
        <v>0</v>
      </c>
      <c r="AD17" s="17" t="s">
        <v>239</v>
      </c>
      <c r="AE17" s="86">
        <v>0</v>
      </c>
      <c r="AF17" s="17" t="s">
        <v>239</v>
      </c>
      <c r="AG17" s="89"/>
      <c r="AH17" s="16"/>
      <c r="AI17" s="89"/>
      <c r="AJ17" s="16"/>
      <c r="AK17" s="89"/>
      <c r="AL17" s="16"/>
      <c r="AM17" s="40">
        <v>0</v>
      </c>
      <c r="AN17" s="18" t="s">
        <v>228</v>
      </c>
      <c r="AO17" s="18"/>
      <c r="AP17" s="18"/>
      <c r="AQ17" s="41"/>
      <c r="AR17" s="42" t="s">
        <v>79</v>
      </c>
      <c r="AS17" s="43" t="s">
        <v>240</v>
      </c>
    </row>
    <row r="18" spans="1:45" ht="120" x14ac:dyDescent="0.25">
      <c r="A18" s="72" t="s">
        <v>153</v>
      </c>
      <c r="B18" s="400"/>
      <c r="C18" s="73" t="s">
        <v>155</v>
      </c>
      <c r="D18" s="14"/>
      <c r="E18" s="14" t="s">
        <v>218</v>
      </c>
      <c r="F18" s="15" t="s">
        <v>241</v>
      </c>
      <c r="G18" s="16" t="s">
        <v>242</v>
      </c>
      <c r="H18" s="16" t="s">
        <v>243</v>
      </c>
      <c r="I18" s="17" t="s">
        <v>66</v>
      </c>
      <c r="J18" s="17" t="s">
        <v>232</v>
      </c>
      <c r="K18" s="17" t="s">
        <v>48</v>
      </c>
      <c r="L18" s="17" t="s">
        <v>163</v>
      </c>
      <c r="M18" s="17" t="s">
        <v>50</v>
      </c>
      <c r="N18" s="17" t="s">
        <v>50</v>
      </c>
      <c r="O18" s="18">
        <v>0</v>
      </c>
      <c r="P18" s="16" t="s">
        <v>244</v>
      </c>
      <c r="Q18" s="17">
        <v>0</v>
      </c>
      <c r="R18" s="16" t="s">
        <v>244</v>
      </c>
      <c r="S18" s="17">
        <v>0</v>
      </c>
      <c r="T18" s="16" t="s">
        <v>244</v>
      </c>
      <c r="U18" s="17">
        <v>0</v>
      </c>
      <c r="V18" s="17" t="s">
        <v>244</v>
      </c>
      <c r="W18" s="17">
        <v>0</v>
      </c>
      <c r="X18" s="17" t="s">
        <v>244</v>
      </c>
      <c r="Y18" s="17">
        <v>0</v>
      </c>
      <c r="Z18" s="17" t="s">
        <v>244</v>
      </c>
      <c r="AA18" s="86">
        <v>0</v>
      </c>
      <c r="AB18" s="17" t="s">
        <v>244</v>
      </c>
      <c r="AC18" s="86">
        <v>0</v>
      </c>
      <c r="AD18" s="17" t="s">
        <v>244</v>
      </c>
      <c r="AE18" s="86">
        <f>58080/58080</f>
        <v>1</v>
      </c>
      <c r="AF18" s="17" t="s">
        <v>245</v>
      </c>
      <c r="AG18" s="17"/>
      <c r="AH18" s="16"/>
      <c r="AI18" s="47"/>
      <c r="AJ18" s="16"/>
      <c r="AK18" s="17"/>
      <c r="AL18" s="16"/>
      <c r="AM18" s="40">
        <v>0</v>
      </c>
      <c r="AN18" s="18" t="s">
        <v>228</v>
      </c>
      <c r="AO18" s="18"/>
      <c r="AP18" s="18"/>
      <c r="AQ18" s="41"/>
      <c r="AR18" s="42" t="s">
        <v>79</v>
      </c>
      <c r="AS18" s="43" t="str">
        <f>IF($AE18&gt;=90%,"RESULTADOS FAVORABLES",IF($AE18&lt;90%,"ACCIÓN CORRECTIVA",IF($AE18&lt;89%,"OPORTUNIDAD DE MEJORA")))</f>
        <v>RESULTADOS FAVORABLES</v>
      </c>
    </row>
    <row r="19" spans="1:45" ht="195" x14ac:dyDescent="0.25">
      <c r="A19" s="90" t="s">
        <v>153</v>
      </c>
      <c r="B19" s="91" t="s">
        <v>246</v>
      </c>
      <c r="C19" s="92" t="s">
        <v>247</v>
      </c>
      <c r="D19" s="93" t="s">
        <v>248</v>
      </c>
      <c r="E19" s="25" t="s">
        <v>249</v>
      </c>
      <c r="F19" s="94" t="s">
        <v>250</v>
      </c>
      <c r="G19" s="25" t="s">
        <v>251</v>
      </c>
      <c r="H19" s="25" t="s">
        <v>252</v>
      </c>
      <c r="I19" s="95" t="s">
        <v>46</v>
      </c>
      <c r="J19" s="95" t="s">
        <v>253</v>
      </c>
      <c r="K19" s="95" t="s">
        <v>48</v>
      </c>
      <c r="L19" s="95" t="s">
        <v>254</v>
      </c>
      <c r="M19" s="95" t="s">
        <v>50</v>
      </c>
      <c r="N19" s="95" t="s">
        <v>50</v>
      </c>
      <c r="O19" s="96">
        <f>1069683687/2573428142</f>
        <v>0.41566487501324606</v>
      </c>
      <c r="P19" s="20" t="s">
        <v>255</v>
      </c>
      <c r="Q19" s="96">
        <f>916706664/2366626819</f>
        <v>0.38734736572762551</v>
      </c>
      <c r="R19" s="20" t="s">
        <v>256</v>
      </c>
      <c r="S19" s="96">
        <f>763627606/2234588239</f>
        <v>0.34173079078843216</v>
      </c>
      <c r="T19" s="20" t="s">
        <v>257</v>
      </c>
      <c r="U19" s="97">
        <f>523944820/3107636255</f>
        <v>0.16859914642745086</v>
      </c>
      <c r="V19" s="17" t="s">
        <v>258</v>
      </c>
      <c r="W19" s="98">
        <f>532981348/2852488331</f>
        <v>0.18684786269157222</v>
      </c>
      <c r="X19" s="23" t="s">
        <v>259</v>
      </c>
      <c r="Y19" s="97">
        <f>857176059/3203689268</f>
        <v>0.26755905061139656</v>
      </c>
      <c r="Z19" s="23" t="s">
        <v>260</v>
      </c>
      <c r="AA19" s="97">
        <f>1362768680/2931793114</f>
        <v>0.46482429933151143</v>
      </c>
      <c r="AB19" s="23" t="s">
        <v>261</v>
      </c>
      <c r="AC19" s="97">
        <f>1283585086/3078861278</f>
        <v>0.41690253964082624</v>
      </c>
      <c r="AD19" s="23" t="s">
        <v>262</v>
      </c>
      <c r="AE19" s="97">
        <f>4675677453/10599793950</f>
        <v>0.44111022110953391</v>
      </c>
      <c r="AF19" s="23" t="s">
        <v>263</v>
      </c>
      <c r="AG19" s="99"/>
      <c r="AH19" s="25"/>
      <c r="AI19" s="99"/>
      <c r="AJ19" s="25"/>
      <c r="AK19" s="99"/>
      <c r="AL19" s="25"/>
      <c r="AM19" s="18" t="s">
        <v>152</v>
      </c>
      <c r="AN19" s="18" t="s">
        <v>61</v>
      </c>
      <c r="AO19" s="100"/>
      <c r="AP19" s="101"/>
      <c r="AQ19" s="101"/>
      <c r="AR19" s="28" t="s">
        <v>264</v>
      </c>
      <c r="AS19" s="51" t="str">
        <f>+[1]Hoja1!$AG$22</f>
        <v>ACCIÓN CORRECTIVA</v>
      </c>
    </row>
    <row r="20" spans="1:45" ht="240" x14ac:dyDescent="0.25">
      <c r="A20" s="11" t="s">
        <v>153</v>
      </c>
      <c r="B20" s="102"/>
      <c r="C20" s="73" t="s">
        <v>247</v>
      </c>
      <c r="D20" s="14" t="s">
        <v>265</v>
      </c>
      <c r="E20" s="16" t="s">
        <v>266</v>
      </c>
      <c r="F20" s="103" t="s">
        <v>267</v>
      </c>
      <c r="G20" s="16" t="s">
        <v>268</v>
      </c>
      <c r="H20" s="16" t="s">
        <v>269</v>
      </c>
      <c r="I20" s="17" t="s">
        <v>46</v>
      </c>
      <c r="J20" s="17" t="s">
        <v>270</v>
      </c>
      <c r="K20" s="95" t="s">
        <v>48</v>
      </c>
      <c r="L20" s="95" t="s">
        <v>254</v>
      </c>
      <c r="M20" s="17" t="s">
        <v>50</v>
      </c>
      <c r="N20" s="17" t="s">
        <v>50</v>
      </c>
      <c r="O20" s="20">
        <f>926425010/6768965112</f>
        <v>0.13686361130117758</v>
      </c>
      <c r="P20" s="104" t="s">
        <v>271</v>
      </c>
      <c r="Q20" s="20">
        <f>741008848/7447586094</f>
        <v>9.9496513185255972E-2</v>
      </c>
      <c r="R20" s="104" t="s">
        <v>272</v>
      </c>
      <c r="S20" s="20">
        <f>401711821/7252183914</f>
        <v>5.5391841376845698E-2</v>
      </c>
      <c r="T20" s="104" t="s">
        <v>273</v>
      </c>
      <c r="U20" s="20">
        <f>316196751/7494639214</f>
        <v>4.2189722810051199E-2</v>
      </c>
      <c r="V20" s="20" t="s">
        <v>274</v>
      </c>
      <c r="W20" s="20">
        <f>348418301/7361624464</f>
        <v>4.7328996840825539E-2</v>
      </c>
      <c r="X20" s="20" t="s">
        <v>275</v>
      </c>
      <c r="Y20" s="20">
        <f>614913206/8607934840</f>
        <v>7.1435625086585811E-2</v>
      </c>
      <c r="Z20" s="20" t="s">
        <v>276</v>
      </c>
      <c r="AA20" s="20">
        <f>653316527/7298311728</f>
        <v>8.9516117062189704E-2</v>
      </c>
      <c r="AB20" s="20" t="s">
        <v>277</v>
      </c>
      <c r="AC20" s="20">
        <f>825036718/7536704784</f>
        <v>0.10946915683250676</v>
      </c>
      <c r="AD20" s="20" t="s">
        <v>278</v>
      </c>
      <c r="AE20" s="20">
        <f>1417413051/7331420016</f>
        <v>0.19333404005044799</v>
      </c>
      <c r="AF20" s="20" t="s">
        <v>279</v>
      </c>
      <c r="AG20" s="20"/>
      <c r="AH20" s="104"/>
      <c r="AI20" s="20"/>
      <c r="AJ20" s="104"/>
      <c r="AK20" s="20"/>
      <c r="AL20" s="104"/>
      <c r="AM20" s="105">
        <v>0</v>
      </c>
      <c r="AN20" s="106" t="s">
        <v>280</v>
      </c>
      <c r="AO20" s="107"/>
      <c r="AP20" s="107"/>
      <c r="AQ20" s="108"/>
      <c r="AR20" s="20" t="s">
        <v>281</v>
      </c>
      <c r="AS20" s="43" t="str">
        <f>IF($AE20&gt;=2.5%,"RESULTADOS FAVORABLES",IF($AE20&lt;2%,"ACCIÓN CORRECTIVA",IF($AE20&lt;2.3%,"OPORTUNIDAD DE MEJORA")))</f>
        <v>RESULTADOS FAVORABLES</v>
      </c>
    </row>
    <row r="21" spans="1:45" ht="270" x14ac:dyDescent="0.25">
      <c r="A21" s="11" t="s">
        <v>153</v>
      </c>
      <c r="B21" s="102"/>
      <c r="C21" s="73" t="s">
        <v>247</v>
      </c>
      <c r="D21" s="14" t="s">
        <v>282</v>
      </c>
      <c r="E21" s="16" t="s">
        <v>283</v>
      </c>
      <c r="F21" s="103" t="s">
        <v>284</v>
      </c>
      <c r="G21" s="16" t="s">
        <v>285</v>
      </c>
      <c r="H21" s="16" t="s">
        <v>286</v>
      </c>
      <c r="I21" s="17" t="s">
        <v>66</v>
      </c>
      <c r="J21" s="17" t="s">
        <v>287</v>
      </c>
      <c r="K21" s="17" t="s">
        <v>288</v>
      </c>
      <c r="L21" s="95" t="s">
        <v>254</v>
      </c>
      <c r="M21" s="17" t="s">
        <v>50</v>
      </c>
      <c r="N21" s="17" t="s">
        <v>50</v>
      </c>
      <c r="O21" s="20">
        <f>716356/866238</f>
        <v>0.8269736492742179</v>
      </c>
      <c r="P21" s="104" t="s">
        <v>289</v>
      </c>
      <c r="Q21" s="20">
        <f>(762665+23416)/934225</f>
        <v>0.84142578072734087</v>
      </c>
      <c r="R21" s="104" t="s">
        <v>290</v>
      </c>
      <c r="S21" s="20">
        <f>(774192+1128)/886930</f>
        <v>0.87416143325854356</v>
      </c>
      <c r="T21" s="104" t="s">
        <v>291</v>
      </c>
      <c r="U21" s="20">
        <f>3062864/3229054</f>
        <v>0.9485329139741856</v>
      </c>
      <c r="V21" s="20" t="s">
        <v>292</v>
      </c>
      <c r="W21" s="20">
        <f>3837555/4368612</f>
        <v>0.87843804851518059</v>
      </c>
      <c r="X21" s="20" t="s">
        <v>293</v>
      </c>
      <c r="Y21" s="20">
        <f>4770035/5297460</f>
        <v>0.90043813450219534</v>
      </c>
      <c r="Z21" s="20" t="s">
        <v>294</v>
      </c>
      <c r="AA21" s="20">
        <f>794241/826796</f>
        <v>0.96062511187765787</v>
      </c>
      <c r="AB21" s="20" t="s">
        <v>295</v>
      </c>
      <c r="AC21" s="20">
        <f>832954/826796</f>
        <v>1.0074480282923479</v>
      </c>
      <c r="AD21" s="20" t="s">
        <v>296</v>
      </c>
      <c r="AE21" s="20">
        <f>795789/826796</f>
        <v>0.96249739960038505</v>
      </c>
      <c r="AF21" s="20" t="s">
        <v>297</v>
      </c>
      <c r="AG21" s="20"/>
      <c r="AH21" s="104"/>
      <c r="AI21" s="20"/>
      <c r="AJ21" s="109"/>
      <c r="AK21" s="110"/>
      <c r="AL21" s="111"/>
      <c r="AM21" s="112">
        <v>16924733</v>
      </c>
      <c r="AN21" s="113">
        <f>+AN22+AN23+AN24</f>
        <v>16188756</v>
      </c>
      <c r="AO21" s="107"/>
      <c r="AP21" s="107"/>
      <c r="AQ21" s="114"/>
      <c r="AR21" s="115" t="s">
        <v>298</v>
      </c>
      <c r="AS21" s="43" t="str">
        <f>IF($AE21&gt;=25%,"RESULTADOS FAVORABLES",IF($AE21&lt;=22.5%,"ACCIÓN CORRECTIVA",IF($AE21&lt;=23%,"OPORTUNIDAD DE MEJORA")))</f>
        <v>RESULTADOS FAVORABLES</v>
      </c>
    </row>
    <row r="22" spans="1:45" ht="195" x14ac:dyDescent="0.25">
      <c r="A22" s="11" t="s">
        <v>153</v>
      </c>
      <c r="B22" s="102"/>
      <c r="C22" s="73" t="s">
        <v>247</v>
      </c>
      <c r="D22" s="116"/>
      <c r="E22" s="16" t="s">
        <v>283</v>
      </c>
      <c r="F22" s="103" t="s">
        <v>299</v>
      </c>
      <c r="G22" s="16" t="s">
        <v>300</v>
      </c>
      <c r="H22" s="16" t="s">
        <v>301</v>
      </c>
      <c r="I22" s="17" t="s">
        <v>66</v>
      </c>
      <c r="J22" s="17" t="s">
        <v>287</v>
      </c>
      <c r="K22" s="17" t="s">
        <v>288</v>
      </c>
      <c r="L22" s="95" t="s">
        <v>254</v>
      </c>
      <c r="M22" s="17" t="s">
        <v>50</v>
      </c>
      <c r="N22" s="17" t="s">
        <v>50</v>
      </c>
      <c r="O22" s="20">
        <f>716356/751892</f>
        <v>0.95273789320806712</v>
      </c>
      <c r="P22" s="104" t="s">
        <v>302</v>
      </c>
      <c r="Q22" s="20">
        <f>762665/782332</f>
        <v>0.97486105643128496</v>
      </c>
      <c r="R22" s="104" t="s">
        <v>303</v>
      </c>
      <c r="S22" s="20">
        <f>774192/797719</f>
        <v>0.97050715853577518</v>
      </c>
      <c r="T22" s="104" t="s">
        <v>304</v>
      </c>
      <c r="U22" s="20">
        <f>773521/775867</f>
        <v>0.99697628588404974</v>
      </c>
      <c r="V22" s="20" t="s">
        <v>305</v>
      </c>
      <c r="W22" s="20">
        <f>774692/775867</f>
        <v>0.99848556518063014</v>
      </c>
      <c r="X22" s="20" t="s">
        <v>306</v>
      </c>
      <c r="Y22" s="20">
        <f>774462/775867</f>
        <v>0.99818912262024295</v>
      </c>
      <c r="Z22" s="20" t="s">
        <v>307</v>
      </c>
      <c r="AA22" s="20">
        <f>774462/775867</f>
        <v>0.99818912262024295</v>
      </c>
      <c r="AB22" s="20" t="s">
        <v>308</v>
      </c>
      <c r="AC22" s="20">
        <f>774462/775867</f>
        <v>0.99818912262024295</v>
      </c>
      <c r="AD22" s="20" t="s">
        <v>309</v>
      </c>
      <c r="AE22" s="20">
        <f>774462/775867</f>
        <v>0.99818912262024295</v>
      </c>
      <c r="AF22" s="20" t="s">
        <v>310</v>
      </c>
      <c r="AG22" s="20"/>
      <c r="AH22" s="104"/>
      <c r="AI22" s="20"/>
      <c r="AJ22" s="104"/>
      <c r="AK22" s="20"/>
      <c r="AL22" s="111"/>
      <c r="AM22" s="112">
        <v>15494807</v>
      </c>
      <c r="AN22" s="113">
        <v>14496246</v>
      </c>
      <c r="AO22" s="107"/>
      <c r="AP22" s="112"/>
      <c r="AQ22" s="114"/>
      <c r="AR22" s="115" t="s">
        <v>298</v>
      </c>
      <c r="AS22" s="43" t="str">
        <f>IF($AE22&gt;=25%,"RESULTADOS FAVORABLES",IF($AE22&lt;=22.5%,"ACCIÓN CORRECTIVA",IF($AE22&lt;=23%,"OPORTUNIDAD DE MEJORA")))</f>
        <v>RESULTADOS FAVORABLES</v>
      </c>
    </row>
    <row r="23" spans="1:45" ht="300" x14ac:dyDescent="0.25">
      <c r="A23" s="11" t="s">
        <v>153</v>
      </c>
      <c r="B23" s="102"/>
      <c r="C23" s="73" t="s">
        <v>247</v>
      </c>
      <c r="D23" s="116"/>
      <c r="E23" s="16" t="s">
        <v>283</v>
      </c>
      <c r="F23" s="103" t="s">
        <v>311</v>
      </c>
      <c r="G23" s="16" t="s">
        <v>312</v>
      </c>
      <c r="H23" s="16" t="s">
        <v>313</v>
      </c>
      <c r="I23" s="17" t="s">
        <v>66</v>
      </c>
      <c r="J23" s="17" t="s">
        <v>287</v>
      </c>
      <c r="K23" s="17" t="s">
        <v>288</v>
      </c>
      <c r="L23" s="95" t="s">
        <v>254</v>
      </c>
      <c r="M23" s="17" t="s">
        <v>50</v>
      </c>
      <c r="N23" s="17" t="s">
        <v>50</v>
      </c>
      <c r="O23" s="20" t="s">
        <v>314</v>
      </c>
      <c r="P23" s="104" t="s">
        <v>315</v>
      </c>
      <c r="Q23" s="20">
        <f>23416/128252</f>
        <v>0.18257804946511555</v>
      </c>
      <c r="R23" s="104" t="s">
        <v>316</v>
      </c>
      <c r="S23" s="20">
        <f>1128/89211</f>
        <v>1.2644180650368228E-2</v>
      </c>
      <c r="T23" s="104" t="s">
        <v>317</v>
      </c>
      <c r="U23" s="20">
        <f>11586/89211</f>
        <v>0.12987187678649495</v>
      </c>
      <c r="V23" s="20" t="s">
        <v>318</v>
      </c>
      <c r="W23" s="20">
        <v>0</v>
      </c>
      <c r="X23" s="20" t="s">
        <v>319</v>
      </c>
      <c r="Y23" s="20">
        <f>62737/140026</f>
        <v>0.44803822147315497</v>
      </c>
      <c r="Z23" s="20" t="s">
        <v>320</v>
      </c>
      <c r="AA23" s="20">
        <f>19236/89211</f>
        <v>0.21562363385681138</v>
      </c>
      <c r="AB23" s="20" t="s">
        <v>321</v>
      </c>
      <c r="AC23" s="20">
        <f>58530/89211</f>
        <v>0.65608501193798974</v>
      </c>
      <c r="AD23" s="20" t="s">
        <v>322</v>
      </c>
      <c r="AE23" s="20">
        <f>19484/89211</f>
        <v>0.21840356009909093</v>
      </c>
      <c r="AF23" s="20" t="s">
        <v>323</v>
      </c>
      <c r="AG23" s="20"/>
      <c r="AH23" s="104"/>
      <c r="AI23" s="20"/>
      <c r="AJ23" s="104"/>
      <c r="AK23" s="20"/>
      <c r="AL23" s="111"/>
      <c r="AM23" s="112">
        <v>1295562</v>
      </c>
      <c r="AN23" s="113">
        <v>1597950</v>
      </c>
      <c r="AO23" s="107"/>
      <c r="AP23" s="107"/>
      <c r="AQ23" s="108"/>
      <c r="AR23" s="115" t="s">
        <v>298</v>
      </c>
      <c r="AS23" s="43" t="s">
        <v>324</v>
      </c>
    </row>
    <row r="24" spans="1:45" ht="165" x14ac:dyDescent="0.25">
      <c r="A24" s="11" t="s">
        <v>153</v>
      </c>
      <c r="B24" s="102"/>
      <c r="C24" s="73" t="s">
        <v>247</v>
      </c>
      <c r="D24" s="116"/>
      <c r="E24" s="16" t="s">
        <v>283</v>
      </c>
      <c r="F24" s="103" t="s">
        <v>325</v>
      </c>
      <c r="G24" s="16" t="s">
        <v>326</v>
      </c>
      <c r="H24" s="16" t="s">
        <v>327</v>
      </c>
      <c r="I24" s="17" t="s">
        <v>66</v>
      </c>
      <c r="J24" s="17" t="s">
        <v>287</v>
      </c>
      <c r="K24" s="17" t="s">
        <v>288</v>
      </c>
      <c r="L24" s="95" t="s">
        <v>254</v>
      </c>
      <c r="M24" s="17" t="s">
        <v>50</v>
      </c>
      <c r="N24" s="17" t="s">
        <v>50</v>
      </c>
      <c r="O24" s="20">
        <v>0</v>
      </c>
      <c r="P24" s="104" t="s">
        <v>328</v>
      </c>
      <c r="Q24" s="20">
        <v>0</v>
      </c>
      <c r="R24" s="104" t="s">
        <v>328</v>
      </c>
      <c r="S24" s="20">
        <v>0</v>
      </c>
      <c r="T24" s="104" t="s">
        <v>328</v>
      </c>
      <c r="U24" s="20" t="s">
        <v>314</v>
      </c>
      <c r="V24" s="20" t="s">
        <v>329</v>
      </c>
      <c r="W24" s="20" t="s">
        <v>314</v>
      </c>
      <c r="X24" s="20" t="s">
        <v>329</v>
      </c>
      <c r="Y24" s="20">
        <v>1</v>
      </c>
      <c r="Z24" s="20" t="s">
        <v>330</v>
      </c>
      <c r="AA24" s="20" t="s">
        <v>149</v>
      </c>
      <c r="AB24" s="20" t="s">
        <v>328</v>
      </c>
      <c r="AC24" s="20" t="s">
        <v>149</v>
      </c>
      <c r="AD24" s="20" t="s">
        <v>328</v>
      </c>
      <c r="AE24" s="20" t="s">
        <v>149</v>
      </c>
      <c r="AF24" s="20" t="s">
        <v>328</v>
      </c>
      <c r="AG24" s="20"/>
      <c r="AH24" s="104"/>
      <c r="AI24" s="20"/>
      <c r="AJ24" s="104"/>
      <c r="AK24" s="20"/>
      <c r="AL24" s="111"/>
      <c r="AM24" s="112">
        <v>134364</v>
      </c>
      <c r="AN24" s="113">
        <v>94560</v>
      </c>
      <c r="AO24" s="117"/>
      <c r="AP24" s="107"/>
      <c r="AQ24" s="108"/>
      <c r="AR24" s="115" t="s">
        <v>331</v>
      </c>
      <c r="AS24" s="43" t="s">
        <v>240</v>
      </c>
    </row>
    <row r="25" spans="1:45" ht="195" x14ac:dyDescent="0.25">
      <c r="A25" s="11" t="s">
        <v>153</v>
      </c>
      <c r="B25" s="102"/>
      <c r="C25" s="73" t="s">
        <v>247</v>
      </c>
      <c r="D25" s="116"/>
      <c r="E25" s="16" t="s">
        <v>283</v>
      </c>
      <c r="F25" s="103" t="s">
        <v>332</v>
      </c>
      <c r="G25" s="16" t="s">
        <v>333</v>
      </c>
      <c r="H25" s="16" t="s">
        <v>334</v>
      </c>
      <c r="I25" s="17" t="s">
        <v>66</v>
      </c>
      <c r="J25" s="17" t="s">
        <v>335</v>
      </c>
      <c r="K25" s="17" t="s">
        <v>336</v>
      </c>
      <c r="L25" s="95" t="s">
        <v>254</v>
      </c>
      <c r="M25" s="17" t="s">
        <v>50</v>
      </c>
      <c r="N25" s="17" t="s">
        <v>50</v>
      </c>
      <c r="O25" s="20">
        <f>0/17200</f>
        <v>0</v>
      </c>
      <c r="P25" s="104" t="s">
        <v>337</v>
      </c>
      <c r="Q25" s="20">
        <v>0.48678082191780819</v>
      </c>
      <c r="R25" s="104" t="s">
        <v>338</v>
      </c>
      <c r="S25" s="20">
        <v>0.48293515358361777</v>
      </c>
      <c r="T25" s="104" t="s">
        <v>339</v>
      </c>
      <c r="U25" s="20">
        <v>0.02</v>
      </c>
      <c r="V25" s="20" t="s">
        <v>340</v>
      </c>
      <c r="W25" s="20">
        <v>0.49</v>
      </c>
      <c r="X25" s="20" t="s">
        <v>341</v>
      </c>
      <c r="Y25" s="20">
        <v>0.91</v>
      </c>
      <c r="Z25" s="20" t="s">
        <v>342</v>
      </c>
      <c r="AA25" s="118">
        <f>31867/37400</f>
        <v>0.85205882352941176</v>
      </c>
      <c r="AB25" s="20" t="s">
        <v>343</v>
      </c>
      <c r="AC25" s="118">
        <f>24568/38000</f>
        <v>0.64652631578947373</v>
      </c>
      <c r="AD25" s="20" t="s">
        <v>344</v>
      </c>
      <c r="AE25" s="118">
        <f>43047/37400</f>
        <v>1.1509893048128341</v>
      </c>
      <c r="AF25" s="20" t="s">
        <v>345</v>
      </c>
      <c r="AG25" s="118"/>
      <c r="AH25" s="104"/>
      <c r="AI25" s="118"/>
      <c r="AJ25" s="104"/>
      <c r="AK25" s="118"/>
      <c r="AL25" s="111"/>
      <c r="AM25" s="112">
        <v>443083</v>
      </c>
      <c r="AN25" s="113">
        <v>453280</v>
      </c>
      <c r="AO25" s="119"/>
      <c r="AP25" s="107"/>
      <c r="AQ25" s="107"/>
      <c r="AR25" s="115" t="s">
        <v>346</v>
      </c>
      <c r="AS25" s="51" t="str">
        <f>IF($AE25&gt;=37773,"RESULTADOS FAVORABLES",IF($AE25&lt;=35000,"ACCIÓN CORRECTIVA",IF($AE25&lt;=36500,"OPORTUNIDAD DE MEJORA")))</f>
        <v>ACCIÓN CORRECTIVA</v>
      </c>
    </row>
    <row r="26" spans="1:45" ht="195" x14ac:dyDescent="0.25">
      <c r="A26" s="120" t="s">
        <v>347</v>
      </c>
      <c r="B26" s="53" t="s">
        <v>348</v>
      </c>
      <c r="C26" s="121" t="s">
        <v>349</v>
      </c>
      <c r="D26" s="14" t="s">
        <v>350</v>
      </c>
      <c r="E26" s="14" t="s">
        <v>351</v>
      </c>
      <c r="F26" s="15" t="s">
        <v>352</v>
      </c>
      <c r="G26" s="122" t="s">
        <v>353</v>
      </c>
      <c r="H26" s="39" t="s">
        <v>354</v>
      </c>
      <c r="I26" s="18" t="s">
        <v>46</v>
      </c>
      <c r="J26" s="27" t="s">
        <v>355</v>
      </c>
      <c r="K26" s="27" t="s">
        <v>48</v>
      </c>
      <c r="L26" s="123" t="s">
        <v>356</v>
      </c>
      <c r="M26" s="80" t="s">
        <v>357</v>
      </c>
      <c r="N26" s="80" t="s">
        <v>357</v>
      </c>
      <c r="O26" s="124">
        <f>276144552/2573428142</f>
        <v>0.10730610561575184</v>
      </c>
      <c r="P26" s="20" t="s">
        <v>358</v>
      </c>
      <c r="Q26" s="96">
        <f>271007003/2366626819</f>
        <v>0.11451192930979795</v>
      </c>
      <c r="R26" s="20" t="s">
        <v>359</v>
      </c>
      <c r="S26" s="96">
        <f>401917070/2234588239</f>
        <v>0.17986180316596573</v>
      </c>
      <c r="T26" s="20" t="s">
        <v>360</v>
      </c>
      <c r="U26" s="48">
        <f>358786755/3107636255</f>
        <v>0.11545326594215577</v>
      </c>
      <c r="V26" s="17" t="s">
        <v>361</v>
      </c>
      <c r="W26" s="48">
        <f>286347257/2852488331</f>
        <v>0.10038507568569612</v>
      </c>
      <c r="X26" s="23" t="s">
        <v>362</v>
      </c>
      <c r="Y26" s="48">
        <f>1055081590/3203689268</f>
        <v>0.32933330973720387</v>
      </c>
      <c r="Z26" s="23" t="s">
        <v>363</v>
      </c>
      <c r="AA26" s="48">
        <f>206788066/2931793114</f>
        <v>7.0532966672354355E-2</v>
      </c>
      <c r="AB26" s="23" t="s">
        <v>364</v>
      </c>
      <c r="AC26" s="48">
        <f>592793184/3078861278</f>
        <v>0.19253650310126119</v>
      </c>
      <c r="AD26" s="23" t="s">
        <v>365</v>
      </c>
      <c r="AE26" s="48">
        <f>910228978/4589139558</f>
        <v>0.1983441485045376</v>
      </c>
      <c r="AF26" s="23" t="s">
        <v>366</v>
      </c>
      <c r="AG26" s="125"/>
      <c r="AH26" s="125"/>
      <c r="AI26" s="125"/>
      <c r="AJ26" s="125"/>
      <c r="AK26" s="125"/>
      <c r="AL26" s="125"/>
      <c r="AM26" s="18" t="s">
        <v>152</v>
      </c>
      <c r="AN26" s="18" t="s">
        <v>61</v>
      </c>
      <c r="AO26" s="126"/>
      <c r="AP26" s="126"/>
      <c r="AQ26" s="127"/>
      <c r="AR26" s="50" t="s">
        <v>367</v>
      </c>
      <c r="AS26" s="43" t="str">
        <f>+[1]Hoja1!$AG$16</f>
        <v>RESULTADOS FAVORABLES</v>
      </c>
    </row>
    <row r="27" spans="1:45" ht="150" x14ac:dyDescent="0.25">
      <c r="A27" s="128" t="s">
        <v>347</v>
      </c>
      <c r="B27" s="129"/>
      <c r="C27" s="130" t="s">
        <v>349</v>
      </c>
      <c r="D27" s="401"/>
      <c r="E27" s="131" t="s">
        <v>351</v>
      </c>
      <c r="F27" s="15" t="s">
        <v>368</v>
      </c>
      <c r="G27" s="132" t="s">
        <v>369</v>
      </c>
      <c r="H27" s="132" t="s">
        <v>370</v>
      </c>
      <c r="I27" s="80" t="s">
        <v>46</v>
      </c>
      <c r="J27" s="133" t="s">
        <v>371</v>
      </c>
      <c r="K27" s="81" t="s">
        <v>48</v>
      </c>
      <c r="L27" s="133" t="s">
        <v>356</v>
      </c>
      <c r="M27" s="80" t="s">
        <v>357</v>
      </c>
      <c r="N27" s="80" t="s">
        <v>357</v>
      </c>
      <c r="O27" s="134"/>
      <c r="P27" s="132"/>
      <c r="Q27" s="134"/>
      <c r="R27" s="132"/>
      <c r="S27" s="135">
        <f>+'[2]Presup - activa ingresos marzo'!I31/'[2]Presup - activa ingresos marzo'!F31</f>
        <v>5.4843536999999998E-2</v>
      </c>
      <c r="T27" s="57" t="s">
        <v>372</v>
      </c>
      <c r="U27" s="136"/>
      <c r="V27" s="136"/>
      <c r="W27" s="136"/>
      <c r="X27" s="137"/>
      <c r="Y27" s="135">
        <v>0.47389050212601735</v>
      </c>
      <c r="Z27" s="81" t="s">
        <v>373</v>
      </c>
      <c r="AA27" s="136"/>
      <c r="AB27" s="137"/>
      <c r="AC27" s="136"/>
      <c r="AD27" s="137"/>
      <c r="AE27" s="138">
        <v>0.54730924580970419</v>
      </c>
      <c r="AF27" s="81" t="s">
        <v>374</v>
      </c>
      <c r="AG27" s="136"/>
      <c r="AH27" s="136"/>
      <c r="AI27" s="136"/>
      <c r="AJ27" s="136"/>
      <c r="AK27" s="136"/>
      <c r="AL27" s="136"/>
      <c r="AM27" s="139">
        <v>1.0832143925031423</v>
      </c>
      <c r="AN27" s="40" t="s">
        <v>375</v>
      </c>
      <c r="AO27" s="119"/>
      <c r="AP27" s="80"/>
      <c r="AQ27" s="80"/>
      <c r="AR27" s="81" t="s">
        <v>376</v>
      </c>
      <c r="AS27" s="51" t="s">
        <v>377</v>
      </c>
    </row>
    <row r="28" spans="1:45" ht="165" x14ac:dyDescent="0.25">
      <c r="A28" s="128" t="s">
        <v>347</v>
      </c>
      <c r="B28" s="129"/>
      <c r="C28" s="130" t="s">
        <v>349</v>
      </c>
      <c r="D28" s="402"/>
      <c r="E28" s="131" t="s">
        <v>351</v>
      </c>
      <c r="F28" s="15" t="s">
        <v>378</v>
      </c>
      <c r="G28" s="132" t="s">
        <v>379</v>
      </c>
      <c r="H28" s="132" t="s">
        <v>380</v>
      </c>
      <c r="I28" s="133" t="s">
        <v>46</v>
      </c>
      <c r="J28" s="133" t="s">
        <v>381</v>
      </c>
      <c r="K28" s="81" t="s">
        <v>48</v>
      </c>
      <c r="L28" s="133" t="s">
        <v>356</v>
      </c>
      <c r="M28" s="80" t="s">
        <v>357</v>
      </c>
      <c r="N28" s="80" t="s">
        <v>357</v>
      </c>
      <c r="O28" s="136"/>
      <c r="P28" s="132"/>
      <c r="Q28" s="136"/>
      <c r="R28" s="132"/>
      <c r="S28" s="140">
        <v>0.30590000000000001</v>
      </c>
      <c r="T28" s="57" t="s">
        <v>382</v>
      </c>
      <c r="U28" s="141"/>
      <c r="V28" s="136"/>
      <c r="W28" s="136"/>
      <c r="X28" s="137"/>
      <c r="Y28" s="140">
        <v>0.43039627107054784</v>
      </c>
      <c r="Z28" s="81" t="s">
        <v>383</v>
      </c>
      <c r="AA28" s="136"/>
      <c r="AB28" s="137"/>
      <c r="AC28" s="136"/>
      <c r="AD28" s="137"/>
      <c r="AE28" s="138">
        <v>0.72867922960841358</v>
      </c>
      <c r="AF28" s="81" t="s">
        <v>384</v>
      </c>
      <c r="AG28" s="136"/>
      <c r="AH28" s="136"/>
      <c r="AI28" s="136"/>
      <c r="AJ28" s="136"/>
      <c r="AK28" s="136"/>
      <c r="AL28" s="136"/>
      <c r="AM28" s="139">
        <v>0.8097647835242846</v>
      </c>
      <c r="AN28" s="40" t="s">
        <v>385</v>
      </c>
      <c r="AO28" s="80"/>
      <c r="AP28" s="80"/>
      <c r="AQ28" s="142"/>
      <c r="AR28" s="81" t="s">
        <v>386</v>
      </c>
      <c r="AS28" s="43" t="str">
        <f>IF($AE28&gt;=20.25%,"RESULTADOS FAVORABLES",IF($AE28&lt;18.25%,"ACCIÓN CORRECTIVA",IF($AE28&lt;19.25%,"OPORTUNIDAD DE MEJORA")))</f>
        <v>RESULTADOS FAVORABLES</v>
      </c>
    </row>
    <row r="29" spans="1:45" ht="195" x14ac:dyDescent="0.25">
      <c r="A29" s="120" t="s">
        <v>347</v>
      </c>
      <c r="B29" s="14"/>
      <c r="C29" s="121" t="s">
        <v>349</v>
      </c>
      <c r="D29" s="14" t="s">
        <v>387</v>
      </c>
      <c r="E29" s="14" t="s">
        <v>388</v>
      </c>
      <c r="F29" s="15" t="s">
        <v>389</v>
      </c>
      <c r="G29" s="39" t="s">
        <v>390</v>
      </c>
      <c r="H29" s="39" t="s">
        <v>391</v>
      </c>
      <c r="I29" s="143" t="s">
        <v>392</v>
      </c>
      <c r="J29" s="27" t="s">
        <v>393</v>
      </c>
      <c r="K29" s="27" t="s">
        <v>394</v>
      </c>
      <c r="L29" s="123" t="s">
        <v>356</v>
      </c>
      <c r="M29" s="18" t="s">
        <v>50</v>
      </c>
      <c r="N29" s="18" t="s">
        <v>357</v>
      </c>
      <c r="O29" s="144">
        <f>118369534317/25222152008</f>
        <v>4.6930783019409041</v>
      </c>
      <c r="P29" s="132" t="s">
        <v>395</v>
      </c>
      <c r="Q29" s="144">
        <f>125306539244/26613366735</f>
        <v>4.7084061363497387</v>
      </c>
      <c r="R29" s="132" t="s">
        <v>395</v>
      </c>
      <c r="S29" s="145">
        <f>127244720/22619551</f>
        <v>5.6254308496220817</v>
      </c>
      <c r="T29" s="146" t="s">
        <v>396</v>
      </c>
      <c r="U29" s="379">
        <v>6.8610651149408648</v>
      </c>
      <c r="V29" s="132" t="s">
        <v>397</v>
      </c>
      <c r="W29" s="379">
        <v>8.3728596935307831</v>
      </c>
      <c r="X29" s="133" t="s">
        <v>398</v>
      </c>
      <c r="Y29" s="145">
        <v>1.7515905298102072</v>
      </c>
      <c r="Z29" s="148" t="s">
        <v>399</v>
      </c>
      <c r="AA29" s="149">
        <v>1.7572525302213045</v>
      </c>
      <c r="AB29" s="148" t="s">
        <v>400</v>
      </c>
      <c r="AC29" s="149">
        <v>2.0304625384837451</v>
      </c>
      <c r="AD29" s="148" t="s">
        <v>401</v>
      </c>
      <c r="AE29" s="150">
        <v>1.9665140158096557</v>
      </c>
      <c r="AF29" s="148" t="s">
        <v>402</v>
      </c>
      <c r="AG29" s="125"/>
      <c r="AH29" s="380">
        <f>AVERAGE(O29,Q29,S29,U29,W29,Y29,AA29,AC29,AE29)</f>
        <v>4.1962955234121431</v>
      </c>
      <c r="AI29" s="125"/>
      <c r="AJ29" s="125"/>
      <c r="AK29" s="125"/>
      <c r="AL29" s="125"/>
      <c r="AM29" s="151">
        <v>4.5</v>
      </c>
      <c r="AN29" s="18" t="s">
        <v>1215</v>
      </c>
      <c r="AO29" s="80"/>
      <c r="AP29" s="26"/>
      <c r="AQ29" s="80"/>
      <c r="AR29" s="81" t="s">
        <v>403</v>
      </c>
      <c r="AS29" s="29" t="str">
        <f>IF($AE29&gt;2,"RESULTADOS FAVORABLES",IF($AE29&lt;1.8%,"ACCIÓN CORRECTIVA",IF($AE29&lt;1.97,"OPORTUNIDAD DE MEJORA")))</f>
        <v>OPORTUNIDAD DE MEJORA</v>
      </c>
    </row>
    <row r="30" spans="1:45" ht="195" x14ac:dyDescent="0.25">
      <c r="A30" s="120" t="s">
        <v>347</v>
      </c>
      <c r="B30" s="14"/>
      <c r="C30" s="121" t="s">
        <v>349</v>
      </c>
      <c r="D30" s="152" t="s">
        <v>404</v>
      </c>
      <c r="E30" s="14" t="s">
        <v>388</v>
      </c>
      <c r="F30" s="15" t="s">
        <v>405</v>
      </c>
      <c r="G30" s="39" t="s">
        <v>406</v>
      </c>
      <c r="H30" s="39" t="s">
        <v>407</v>
      </c>
      <c r="I30" s="143" t="s">
        <v>392</v>
      </c>
      <c r="J30" s="27" t="s">
        <v>408</v>
      </c>
      <c r="K30" s="27" t="s">
        <v>394</v>
      </c>
      <c r="L30" s="123" t="s">
        <v>356</v>
      </c>
      <c r="M30" s="18" t="s">
        <v>50</v>
      </c>
      <c r="N30" s="18" t="s">
        <v>357</v>
      </c>
      <c r="O30" s="144">
        <f>+(118369534317-31519616708)/25222152008</f>
        <v>3.4433983896954081</v>
      </c>
      <c r="P30" s="132" t="s">
        <v>409</v>
      </c>
      <c r="Q30" s="144">
        <f>(125306539244-32978942061)/26613366735</f>
        <v>3.4692189869227383</v>
      </c>
      <c r="R30" s="132" t="s">
        <v>410</v>
      </c>
      <c r="S30" s="145">
        <f>(127244720-33779351)/22619551</f>
        <v>4.1320611978548998</v>
      </c>
      <c r="T30" s="146" t="s">
        <v>411</v>
      </c>
      <c r="U30" s="147">
        <v>4.9526061182657521</v>
      </c>
      <c r="V30" s="132" t="s">
        <v>412</v>
      </c>
      <c r="W30" s="147">
        <v>6.3897411711688665</v>
      </c>
      <c r="X30" s="133" t="s">
        <v>413</v>
      </c>
      <c r="Y30" s="145">
        <v>1.28</v>
      </c>
      <c r="Z30" s="148" t="s">
        <v>414</v>
      </c>
      <c r="AA30" s="149">
        <v>1.3005741088155369</v>
      </c>
      <c r="AB30" s="148" t="s">
        <v>415</v>
      </c>
      <c r="AC30" s="149">
        <v>1.4390046466648951</v>
      </c>
      <c r="AD30" s="148" t="s">
        <v>416</v>
      </c>
      <c r="AE30" s="150">
        <v>1.3923345665732527</v>
      </c>
      <c r="AF30" s="148" t="s">
        <v>417</v>
      </c>
      <c r="AG30" s="125"/>
      <c r="AH30" s="125"/>
      <c r="AI30" s="125"/>
      <c r="AJ30" s="125"/>
      <c r="AK30" s="125"/>
      <c r="AL30" s="125"/>
      <c r="AM30" s="151">
        <v>3.4</v>
      </c>
      <c r="AN30" s="18" t="s">
        <v>418</v>
      </c>
      <c r="AO30" s="80"/>
      <c r="AP30" s="26"/>
      <c r="AQ30" s="80"/>
      <c r="AR30" s="81" t="s">
        <v>419</v>
      </c>
      <c r="AS30" s="29" t="str">
        <f>IF($AE30&gt;=1.5,"RESULTADOS FAVORABLES",IF($AE30&lt;1.3,"ACCIÓN CORRECTIVA",IF($AE30&gt;1.35,"OPORTUNIDAD DE MEJORA")))</f>
        <v>OPORTUNIDAD DE MEJORA</v>
      </c>
    </row>
    <row r="31" spans="1:45" ht="180" x14ac:dyDescent="0.25">
      <c r="A31" s="120" t="s">
        <v>347</v>
      </c>
      <c r="B31" s="14"/>
      <c r="C31" s="121" t="s">
        <v>349</v>
      </c>
      <c r="D31" s="152"/>
      <c r="E31" s="14" t="s">
        <v>388</v>
      </c>
      <c r="F31" s="15" t="s">
        <v>420</v>
      </c>
      <c r="G31" s="39" t="s">
        <v>421</v>
      </c>
      <c r="H31" s="39" t="s">
        <v>422</v>
      </c>
      <c r="I31" s="123" t="s">
        <v>421</v>
      </c>
      <c r="J31" s="27" t="s">
        <v>423</v>
      </c>
      <c r="K31" s="27" t="s">
        <v>424</v>
      </c>
      <c r="L31" s="27" t="s">
        <v>356</v>
      </c>
      <c r="M31" s="18" t="s">
        <v>50</v>
      </c>
      <c r="N31" s="18" t="s">
        <v>357</v>
      </c>
      <c r="O31" s="153">
        <f>227225837381/463238576980</f>
        <v>0.49051579180291438</v>
      </c>
      <c r="P31" s="57" t="s">
        <v>425</v>
      </c>
      <c r="Q31" s="153">
        <f>226247998408/464997847696</f>
        <v>0.48655708736938791</v>
      </c>
      <c r="R31" s="57" t="s">
        <v>425</v>
      </c>
      <c r="S31" s="154">
        <f>+(221174173)/465394050</f>
        <v>0.4752406546667281</v>
      </c>
      <c r="T31" s="146" t="s">
        <v>426</v>
      </c>
      <c r="U31" s="155">
        <v>0.46761858124230499</v>
      </c>
      <c r="V31" s="57" t="s">
        <v>427</v>
      </c>
      <c r="W31" s="155">
        <v>0.46166238226901701</v>
      </c>
      <c r="X31" s="81" t="s">
        <v>428</v>
      </c>
      <c r="Y31" s="156">
        <v>0.57031968959259205</v>
      </c>
      <c r="Z31" s="148" t="s">
        <v>429</v>
      </c>
      <c r="AA31" s="157">
        <v>0.56619870083299983</v>
      </c>
      <c r="AB31" s="148" t="s">
        <v>429</v>
      </c>
      <c r="AC31" s="153">
        <v>0.54297201819350205</v>
      </c>
      <c r="AD31" s="148" t="s">
        <v>430</v>
      </c>
      <c r="AE31" s="158">
        <v>0.54387059608574184</v>
      </c>
      <c r="AF31" s="148" t="s">
        <v>431</v>
      </c>
      <c r="AG31" s="39"/>
      <c r="AH31" s="39"/>
      <c r="AI31" s="39"/>
      <c r="AJ31" s="39"/>
      <c r="AK31" s="39"/>
      <c r="AL31" s="39"/>
      <c r="AM31" s="139">
        <v>0.49399999999999999</v>
      </c>
      <c r="AN31" s="18"/>
      <c r="AO31" s="80"/>
      <c r="AP31" s="80"/>
      <c r="AQ31" s="142"/>
      <c r="AR31" s="81" t="s">
        <v>432</v>
      </c>
      <c r="AS31" s="43" t="str">
        <f>IF($AE31&lt;=70%,"RESULTADOS FAVORABLES",IF($AE31&gt;=65%,"ACCIÓN CORRECTIVA",IF($AE31&gt;=60%,"OPORTUNIDAD DE MEJORA")))</f>
        <v>RESULTADOS FAVORABLES</v>
      </c>
    </row>
    <row r="32" spans="1:45" ht="135" x14ac:dyDescent="0.25">
      <c r="A32" s="120" t="s">
        <v>347</v>
      </c>
      <c r="B32" s="14"/>
      <c r="C32" s="121" t="s">
        <v>349</v>
      </c>
      <c r="D32" s="152"/>
      <c r="E32" s="14" t="s">
        <v>433</v>
      </c>
      <c r="F32" s="15" t="s">
        <v>434</v>
      </c>
      <c r="G32" s="39" t="s">
        <v>435</v>
      </c>
      <c r="H32" s="39" t="s">
        <v>436</v>
      </c>
      <c r="I32" s="123" t="s">
        <v>46</v>
      </c>
      <c r="J32" s="27" t="s">
        <v>437</v>
      </c>
      <c r="K32" s="27" t="s">
        <v>424</v>
      </c>
      <c r="L32" s="123" t="s">
        <v>356</v>
      </c>
      <c r="M32" s="18" t="s">
        <v>357</v>
      </c>
      <c r="N32" s="18" t="s">
        <v>357</v>
      </c>
      <c r="O32" s="160"/>
      <c r="P32" s="57"/>
      <c r="Q32" s="160"/>
      <c r="R32" s="57"/>
      <c r="S32" s="161">
        <f>7361239/21590559</f>
        <v>0.34094712415736894</v>
      </c>
      <c r="T32" s="57" t="s">
        <v>438</v>
      </c>
      <c r="U32" s="136"/>
      <c r="V32" s="136"/>
      <c r="W32" s="136"/>
      <c r="X32" s="137"/>
      <c r="Y32" s="157">
        <v>0.3243154817729948</v>
      </c>
      <c r="Z32" s="162" t="s">
        <v>439</v>
      </c>
      <c r="AA32" s="136"/>
      <c r="AB32" s="137"/>
      <c r="AC32" s="136"/>
      <c r="AD32" s="137"/>
      <c r="AE32" s="158">
        <v>0.31387046937487867</v>
      </c>
      <c r="AF32" s="81" t="s">
        <v>440</v>
      </c>
      <c r="AG32" s="125"/>
      <c r="AH32" s="125"/>
      <c r="AI32" s="125"/>
      <c r="AJ32" s="125"/>
      <c r="AK32" s="125"/>
      <c r="AL32" s="125"/>
      <c r="AM32" s="139">
        <v>0.47599999999999998</v>
      </c>
      <c r="AN32" s="18"/>
      <c r="AO32" s="80"/>
      <c r="AP32" s="80"/>
      <c r="AQ32" s="114"/>
      <c r="AR32" s="81" t="s">
        <v>441</v>
      </c>
      <c r="AS32" s="43" t="str">
        <f>IF($AE32&lt;=70%,"RESULTADOS FAVORABLES",IF($AE32&gt;=65%,"ACCIÓN CORRECTIVA",IF($AE32&gt;=60%,"OPORTUNIDAD DE MEJORA")))</f>
        <v>RESULTADOS FAVORABLES</v>
      </c>
    </row>
    <row r="33" spans="1:45" ht="120.75" x14ac:dyDescent="0.25">
      <c r="A33" s="120" t="s">
        <v>347</v>
      </c>
      <c r="B33" s="14"/>
      <c r="C33" s="121" t="s">
        <v>349</v>
      </c>
      <c r="D33" s="152"/>
      <c r="E33" s="14" t="s">
        <v>433</v>
      </c>
      <c r="F33" s="15" t="s">
        <v>442</v>
      </c>
      <c r="G33" s="39" t="s">
        <v>443</v>
      </c>
      <c r="H33" s="39" t="s">
        <v>444</v>
      </c>
      <c r="I33" s="123" t="s">
        <v>46</v>
      </c>
      <c r="J33" s="27" t="s">
        <v>445</v>
      </c>
      <c r="K33" s="27" t="s">
        <v>424</v>
      </c>
      <c r="L33" s="123" t="s">
        <v>356</v>
      </c>
      <c r="M33" s="18" t="s">
        <v>357</v>
      </c>
      <c r="N33" s="18" t="s">
        <v>357</v>
      </c>
      <c r="O33" s="160"/>
      <c r="P33" s="57"/>
      <c r="Q33" s="160"/>
      <c r="R33" s="57"/>
      <c r="S33" s="161">
        <f>10158707/21590559</f>
        <v>0.47051616403262186</v>
      </c>
      <c r="T33" s="159" t="s">
        <v>446</v>
      </c>
      <c r="U33" s="136"/>
      <c r="V33" s="136"/>
      <c r="W33" s="136"/>
      <c r="X33" s="137"/>
      <c r="Y33" s="157">
        <v>0.42756494545212032</v>
      </c>
      <c r="Z33" s="162" t="s">
        <v>447</v>
      </c>
      <c r="AA33" s="136"/>
      <c r="AB33" s="137"/>
      <c r="AC33" s="136"/>
      <c r="AD33" s="137"/>
      <c r="AE33" s="158">
        <v>0.40175171303259682</v>
      </c>
      <c r="AF33" s="81" t="s">
        <v>448</v>
      </c>
      <c r="AG33" s="125"/>
      <c r="AH33" s="125"/>
      <c r="AI33" s="125"/>
      <c r="AJ33" s="125"/>
      <c r="AK33" s="125"/>
      <c r="AL33" s="125"/>
      <c r="AM33" s="139">
        <v>0.56000000000000005</v>
      </c>
      <c r="AN33" s="18"/>
      <c r="AO33" s="80"/>
      <c r="AP33" s="80"/>
      <c r="AQ33" s="142"/>
      <c r="AR33" s="81" t="s">
        <v>449</v>
      </c>
      <c r="AS33" s="43" t="str">
        <f>IF($AE33&lt;=70%,"RESULTADOS FAVORABLES",IF($AE33&gt;=65%,"ACCIÓN CORRECTIVA",IF($AE33&gt;=60%,"OPORTUNIDAD DE MEJORA")))</f>
        <v>RESULTADOS FAVORABLES</v>
      </c>
    </row>
    <row r="34" spans="1:45" ht="150" x14ac:dyDescent="0.25">
      <c r="A34" s="120" t="s">
        <v>347</v>
      </c>
      <c r="B34" s="14"/>
      <c r="C34" s="121" t="s">
        <v>349</v>
      </c>
      <c r="D34" s="163"/>
      <c r="E34" s="14" t="s">
        <v>433</v>
      </c>
      <c r="F34" s="15" t="s">
        <v>450</v>
      </c>
      <c r="G34" s="39" t="s">
        <v>451</v>
      </c>
      <c r="H34" s="39" t="s">
        <v>452</v>
      </c>
      <c r="I34" s="123" t="s">
        <v>46</v>
      </c>
      <c r="J34" s="27" t="s">
        <v>453</v>
      </c>
      <c r="K34" s="27" t="s">
        <v>424</v>
      </c>
      <c r="L34" s="123" t="s">
        <v>356</v>
      </c>
      <c r="M34" s="18" t="s">
        <v>357</v>
      </c>
      <c r="N34" s="18" t="s">
        <v>357</v>
      </c>
      <c r="O34" s="164"/>
      <c r="P34" s="57"/>
      <c r="Q34" s="160"/>
      <c r="R34" s="57"/>
      <c r="S34" s="161">
        <f>10158707/244219877</f>
        <v>4.1596560954782563E-2</v>
      </c>
      <c r="T34" s="57" t="s">
        <v>454</v>
      </c>
      <c r="U34" s="136"/>
      <c r="V34" s="136"/>
      <c r="W34" s="136"/>
      <c r="X34" s="137"/>
      <c r="Y34" s="157">
        <v>9.6619412730159199E-2</v>
      </c>
      <c r="Z34" s="81" t="s">
        <v>455</v>
      </c>
      <c r="AA34" s="136"/>
      <c r="AB34" s="137"/>
      <c r="AC34" s="136"/>
      <c r="AD34" s="137"/>
      <c r="AE34" s="138">
        <v>5.9655989751836482E-2</v>
      </c>
      <c r="AF34" s="81" t="s">
        <v>456</v>
      </c>
      <c r="AG34" s="125"/>
      <c r="AH34" s="125"/>
      <c r="AI34" s="125"/>
      <c r="AJ34" s="125"/>
      <c r="AK34" s="125"/>
      <c r="AL34" s="125"/>
      <c r="AM34" s="139">
        <v>0.19391179429415836</v>
      </c>
      <c r="AN34" s="18" t="s">
        <v>457</v>
      </c>
      <c r="AO34" s="119"/>
      <c r="AP34" s="80"/>
      <c r="AQ34" s="80"/>
      <c r="AR34" s="81" t="s">
        <v>458</v>
      </c>
      <c r="AS34" s="51" t="str">
        <f>IF($AE34&gt;=15,"RESULTADOS FAVORABLES",IF($AE34&lt;13.5,"ACCIÓN CORRECTIVA",IF($AE34&lt;13,"OPORTUNIDAD DE MEJORA")))</f>
        <v>ACCIÓN CORRECTIVA</v>
      </c>
    </row>
    <row r="35" spans="1:45" ht="409.5" x14ac:dyDescent="0.25">
      <c r="A35" s="120" t="s">
        <v>347</v>
      </c>
      <c r="B35" s="403" t="s">
        <v>459</v>
      </c>
      <c r="C35" s="165" t="s">
        <v>460</v>
      </c>
      <c r="D35" s="166" t="s">
        <v>461</v>
      </c>
      <c r="E35" s="14" t="s">
        <v>462</v>
      </c>
      <c r="F35" s="167" t="s">
        <v>463</v>
      </c>
      <c r="G35" s="168" t="s">
        <v>464</v>
      </c>
      <c r="H35" s="168" t="s">
        <v>465</v>
      </c>
      <c r="I35" s="123" t="s">
        <v>46</v>
      </c>
      <c r="J35" s="123" t="s">
        <v>466</v>
      </c>
      <c r="K35" s="27" t="s">
        <v>424</v>
      </c>
      <c r="L35" s="17" t="s">
        <v>467</v>
      </c>
      <c r="M35" s="18" t="s">
        <v>468</v>
      </c>
      <c r="N35" s="18" t="s">
        <v>468</v>
      </c>
      <c r="O35" s="20">
        <f>((6/51)-1)</f>
        <v>-0.88235294117647056</v>
      </c>
      <c r="P35" s="132" t="s">
        <v>469</v>
      </c>
      <c r="Q35" s="20">
        <f>+(43/57)-1</f>
        <v>-0.24561403508771928</v>
      </c>
      <c r="R35" s="132" t="s">
        <v>470</v>
      </c>
      <c r="S35" s="20">
        <f>+(30/26)-1</f>
        <v>0.15384615384615374</v>
      </c>
      <c r="T35" s="132" t="s">
        <v>471</v>
      </c>
      <c r="U35" s="118">
        <f>(8/26)-1</f>
        <v>-0.69230769230769229</v>
      </c>
      <c r="V35" s="132" t="s">
        <v>472</v>
      </c>
      <c r="W35" s="118">
        <f>(49/37)-1</f>
        <v>0.32432432432432434</v>
      </c>
      <c r="X35" s="133" t="s">
        <v>473</v>
      </c>
      <c r="Y35" s="169">
        <f>(42/54)-1</f>
        <v>-0.22222222222222221</v>
      </c>
      <c r="Z35" s="133" t="s">
        <v>474</v>
      </c>
      <c r="AA35" s="118">
        <f>(61/41)-1</f>
        <v>0.48780487804878048</v>
      </c>
      <c r="AB35" s="133" t="s">
        <v>475</v>
      </c>
      <c r="AC35" s="118">
        <f>(12/84)-1</f>
        <v>-0.85714285714285721</v>
      </c>
      <c r="AD35" s="133" t="s">
        <v>476</v>
      </c>
      <c r="AE35" s="118">
        <f>(110/98)-1</f>
        <v>0.12244897959183665</v>
      </c>
      <c r="AF35" s="118" t="s">
        <v>477</v>
      </c>
      <c r="AG35" s="170"/>
      <c r="AH35" s="125"/>
      <c r="AI35" s="171"/>
      <c r="AJ35" s="125"/>
      <c r="AK35" s="171"/>
      <c r="AL35" s="125"/>
      <c r="AM35" s="18" t="s">
        <v>478</v>
      </c>
      <c r="AN35" s="46" t="s">
        <v>479</v>
      </c>
      <c r="AO35" s="126"/>
      <c r="AP35" s="126"/>
      <c r="AQ35" s="127"/>
      <c r="AR35" s="50" t="s">
        <v>480</v>
      </c>
      <c r="AS35" s="43" t="str">
        <f>IF(AVERAGE(AA35,AC35,AE35)&lt;=5%,"RESULTADOS FAVORABLES",IF(AVERAGE(AA35,AC35,AE35)&lt;8%,"ACCIÓN CORRECTIVA",IF(AVERAGE(AA35,AC35,AE35)&lt;6%,"OPORTUNIDAD DE MEJORA")))</f>
        <v>RESULTADOS FAVORABLES</v>
      </c>
    </row>
    <row r="36" spans="1:45" ht="150" x14ac:dyDescent="0.25">
      <c r="A36" s="120" t="s">
        <v>347</v>
      </c>
      <c r="B36" s="404"/>
      <c r="C36" s="165" t="s">
        <v>460</v>
      </c>
      <c r="D36" s="166"/>
      <c r="E36" s="14" t="s">
        <v>462</v>
      </c>
      <c r="F36" s="167" t="s">
        <v>481</v>
      </c>
      <c r="G36" s="168" t="s">
        <v>482</v>
      </c>
      <c r="H36" s="168" t="s">
        <v>483</v>
      </c>
      <c r="I36" s="123" t="s">
        <v>66</v>
      </c>
      <c r="J36" s="123" t="s">
        <v>484</v>
      </c>
      <c r="K36" s="27" t="s">
        <v>424</v>
      </c>
      <c r="L36" s="17" t="s">
        <v>467</v>
      </c>
      <c r="M36" s="18" t="s">
        <v>50</v>
      </c>
      <c r="N36" s="18" t="s">
        <v>50</v>
      </c>
      <c r="O36" s="20">
        <f>((15+23+2)/(15+23+2))</f>
        <v>1</v>
      </c>
      <c r="P36" s="132" t="s">
        <v>485</v>
      </c>
      <c r="Q36" s="20">
        <f>((12+57+7)/(12+57+7))</f>
        <v>1</v>
      </c>
      <c r="R36" s="132" t="s">
        <v>486</v>
      </c>
      <c r="S36" s="20">
        <f>((25+82+10)/(25+82+10))</f>
        <v>1</v>
      </c>
      <c r="T36" s="132" t="s">
        <v>487</v>
      </c>
      <c r="U36" s="172">
        <f>((20+59+5)/(20+59+5))*100</f>
        <v>100</v>
      </c>
      <c r="V36" s="132" t="s">
        <v>488</v>
      </c>
      <c r="W36" s="172">
        <f>((22+96+8)/(22+96+8))*100</f>
        <v>100</v>
      </c>
      <c r="X36" s="133" t="s">
        <v>489</v>
      </c>
      <c r="Y36" s="173">
        <f>((13+28+1)/(13+28+1))</f>
        <v>1</v>
      </c>
      <c r="Z36" s="133" t="s">
        <v>490</v>
      </c>
      <c r="AA36" s="20">
        <f>((21+13)/(21+13))</f>
        <v>1</v>
      </c>
      <c r="AB36" s="133" t="s">
        <v>491</v>
      </c>
      <c r="AC36" s="20">
        <f>((44+14)/(44+14))</f>
        <v>1</v>
      </c>
      <c r="AD36" s="133" t="s">
        <v>492</v>
      </c>
      <c r="AE36" s="20">
        <f>((90+39)/(90+39))</f>
        <v>1</v>
      </c>
      <c r="AF36" s="133" t="s">
        <v>493</v>
      </c>
      <c r="AG36" s="171"/>
      <c r="AH36" s="174"/>
      <c r="AI36" s="171"/>
      <c r="AJ36" s="174"/>
      <c r="AK36" s="171"/>
      <c r="AL36" s="174"/>
      <c r="AM36" s="18">
        <v>0</v>
      </c>
      <c r="AN36" s="18" t="s">
        <v>494</v>
      </c>
      <c r="AO36" s="126"/>
      <c r="AP36" s="126"/>
      <c r="AQ36" s="175"/>
      <c r="AR36" s="50" t="s">
        <v>495</v>
      </c>
      <c r="AS36" s="43" t="str">
        <f>IF($AE36&gt;=25%,"RESULTADOS FAVORABLES",IF($AE36&lt;12.5%,"ACCIÓN CORRECTIVA",IF($AE36&lt;24%,"OPORTUNIDAD DE MEJORA")))</f>
        <v>RESULTADOS FAVORABLES</v>
      </c>
    </row>
    <row r="37" spans="1:45" ht="409.5" x14ac:dyDescent="0.25">
      <c r="A37" s="120" t="s">
        <v>347</v>
      </c>
      <c r="B37" s="404"/>
      <c r="C37" s="165" t="s">
        <v>460</v>
      </c>
      <c r="D37" s="166"/>
      <c r="E37" s="14" t="s">
        <v>462</v>
      </c>
      <c r="F37" s="167" t="s">
        <v>496</v>
      </c>
      <c r="G37" s="168" t="s">
        <v>497</v>
      </c>
      <c r="H37" s="168" t="s">
        <v>498</v>
      </c>
      <c r="I37" s="123" t="s">
        <v>46</v>
      </c>
      <c r="J37" s="123" t="s">
        <v>499</v>
      </c>
      <c r="K37" s="27" t="s">
        <v>424</v>
      </c>
      <c r="L37" s="17" t="s">
        <v>467</v>
      </c>
      <c r="M37" s="27" t="s">
        <v>500</v>
      </c>
      <c r="N37" s="27" t="s">
        <v>500</v>
      </c>
      <c r="O37" s="78" t="s">
        <v>149</v>
      </c>
      <c r="P37" s="18" t="s">
        <v>501</v>
      </c>
      <c r="Q37" s="78" t="s">
        <v>149</v>
      </c>
      <c r="R37" s="18" t="s">
        <v>501</v>
      </c>
      <c r="S37" s="78" t="s">
        <v>149</v>
      </c>
      <c r="T37" s="18" t="s">
        <v>501</v>
      </c>
      <c r="U37" s="78" t="s">
        <v>149</v>
      </c>
      <c r="V37" s="18" t="s">
        <v>501</v>
      </c>
      <c r="W37" s="78" t="s">
        <v>149</v>
      </c>
      <c r="X37" s="18" t="s">
        <v>501</v>
      </c>
      <c r="Y37" s="173">
        <f>(16262353290/18234206670)</f>
        <v>0.89185965610205509</v>
      </c>
      <c r="Z37" s="133" t="s">
        <v>502</v>
      </c>
      <c r="AA37" s="78" t="s">
        <v>149</v>
      </c>
      <c r="AB37" s="18" t="s">
        <v>501</v>
      </c>
      <c r="AC37" s="78" t="s">
        <v>149</v>
      </c>
      <c r="AD37" s="18" t="s">
        <v>501</v>
      </c>
      <c r="AE37" s="78" t="s">
        <v>149</v>
      </c>
      <c r="AF37" s="18" t="s">
        <v>501</v>
      </c>
      <c r="AG37" s="171"/>
      <c r="AH37" s="174"/>
      <c r="AI37" s="171"/>
      <c r="AJ37" s="174"/>
      <c r="AK37" s="171"/>
      <c r="AL37" s="174"/>
      <c r="AM37" s="18">
        <v>0</v>
      </c>
      <c r="AN37" s="40">
        <v>1</v>
      </c>
      <c r="AO37" s="126"/>
      <c r="AP37" s="126"/>
      <c r="AQ37" s="126"/>
      <c r="AR37" s="42"/>
      <c r="AS37" s="50" t="s">
        <v>503</v>
      </c>
    </row>
    <row r="38" spans="1:45" ht="409.5" x14ac:dyDescent="0.25">
      <c r="A38" s="120" t="s">
        <v>347</v>
      </c>
      <c r="B38" s="404"/>
      <c r="C38" s="165" t="s">
        <v>460</v>
      </c>
      <c r="D38" s="166"/>
      <c r="E38" s="14" t="s">
        <v>462</v>
      </c>
      <c r="F38" s="15" t="s">
        <v>504</v>
      </c>
      <c r="G38" s="39" t="s">
        <v>505</v>
      </c>
      <c r="H38" s="176" t="s">
        <v>506</v>
      </c>
      <c r="I38" s="123" t="s">
        <v>46</v>
      </c>
      <c r="J38" s="123" t="s">
        <v>507</v>
      </c>
      <c r="K38" s="27" t="s">
        <v>424</v>
      </c>
      <c r="L38" s="123" t="s">
        <v>508</v>
      </c>
      <c r="M38" s="18" t="s">
        <v>357</v>
      </c>
      <c r="N38" s="18" t="s">
        <v>357</v>
      </c>
      <c r="O38" s="78" t="s">
        <v>149</v>
      </c>
      <c r="P38" s="77" t="s">
        <v>149</v>
      </c>
      <c r="Q38" s="78" t="s">
        <v>149</v>
      </c>
      <c r="R38" s="77" t="s">
        <v>149</v>
      </c>
      <c r="S38" s="20">
        <f>(9218707025/54783807920)</f>
        <v>0.16827430175102001</v>
      </c>
      <c r="T38" s="132" t="s">
        <v>509</v>
      </c>
      <c r="U38" s="78" t="s">
        <v>149</v>
      </c>
      <c r="V38" s="77" t="s">
        <v>149</v>
      </c>
      <c r="W38" s="78" t="s">
        <v>149</v>
      </c>
      <c r="X38" s="78" t="s">
        <v>149</v>
      </c>
      <c r="Y38" s="177">
        <f>(4771306436/51236622602)</f>
        <v>9.3122969346807694E-2</v>
      </c>
      <c r="Z38" s="133" t="s">
        <v>510</v>
      </c>
      <c r="AA38" s="78"/>
      <c r="AB38" s="78"/>
      <c r="AC38" s="78"/>
      <c r="AD38" s="78"/>
      <c r="AE38" s="96">
        <f>((2969081993/9321843825))*100/100</f>
        <v>0.31850801716258104</v>
      </c>
      <c r="AF38" s="133" t="s">
        <v>511</v>
      </c>
      <c r="AG38" s="171"/>
      <c r="AH38" s="174"/>
      <c r="AI38" s="171"/>
      <c r="AJ38" s="174"/>
      <c r="AK38" s="171"/>
      <c r="AL38" s="174"/>
      <c r="AM38" s="40">
        <v>0</v>
      </c>
      <c r="AN38" s="40">
        <v>1</v>
      </c>
      <c r="AO38" s="178"/>
      <c r="AP38" s="178"/>
      <c r="AQ38" s="127"/>
      <c r="AR38" s="50" t="s">
        <v>495</v>
      </c>
      <c r="AS38" s="43" t="str">
        <f>IF($AE38&gt;=25%,"RESULTADOS FAVORABLES",IF($AE38&lt;12.5%,"ACCIÓN CORRECTIVA",IF($AE38&lt;24%,"OPORTUNIDAD DE MEJORA")))</f>
        <v>RESULTADOS FAVORABLES</v>
      </c>
    </row>
    <row r="39" spans="1:45" ht="285" x14ac:dyDescent="0.25">
      <c r="A39" s="120" t="s">
        <v>347</v>
      </c>
      <c r="B39" s="404"/>
      <c r="C39" s="165" t="s">
        <v>460</v>
      </c>
      <c r="D39" s="166"/>
      <c r="E39" s="14" t="s">
        <v>462</v>
      </c>
      <c r="F39" s="15" t="s">
        <v>504</v>
      </c>
      <c r="G39" s="39" t="s">
        <v>505</v>
      </c>
      <c r="H39" s="176" t="s">
        <v>506</v>
      </c>
      <c r="I39" s="123" t="s">
        <v>46</v>
      </c>
      <c r="J39" s="123" t="s">
        <v>507</v>
      </c>
      <c r="K39" s="27" t="s">
        <v>424</v>
      </c>
      <c r="L39" s="123" t="s">
        <v>508</v>
      </c>
      <c r="M39" s="18" t="s">
        <v>357</v>
      </c>
      <c r="N39" s="18" t="s">
        <v>357</v>
      </c>
      <c r="O39" s="78"/>
      <c r="P39" s="77"/>
      <c r="Q39" s="78"/>
      <c r="R39" s="77"/>
      <c r="S39" s="20"/>
      <c r="T39" s="132"/>
      <c r="U39" s="78"/>
      <c r="V39" s="77"/>
      <c r="W39" s="78"/>
      <c r="X39" s="78"/>
      <c r="Y39" s="177"/>
      <c r="Z39" s="133"/>
      <c r="AA39" s="78"/>
      <c r="AB39" s="78"/>
      <c r="AC39" s="78"/>
      <c r="AD39" s="78"/>
      <c r="AE39" s="96">
        <v>0</v>
      </c>
      <c r="AF39" s="133" t="s">
        <v>512</v>
      </c>
      <c r="AG39" s="171"/>
      <c r="AH39" s="174"/>
      <c r="AI39" s="171"/>
      <c r="AJ39" s="174"/>
      <c r="AK39" s="171"/>
      <c r="AL39" s="174"/>
      <c r="AM39" s="179"/>
      <c r="AN39" s="179"/>
      <c r="AO39" s="180"/>
      <c r="AP39" s="178"/>
      <c r="AQ39" s="178"/>
      <c r="AR39" s="181"/>
      <c r="AS39" s="51" t="str">
        <f>IF($AE39&gt;=25%,"RESULTADOS FAVORABLES",IF($AE39&lt;12.5%,"ACCIÓN CORRECTIVA",IF($AE39&lt;24%,"OPORTUNIDAD DE MEJORA")))</f>
        <v>ACCIÓN CORRECTIVA</v>
      </c>
    </row>
    <row r="40" spans="1:45" ht="285" x14ac:dyDescent="0.25">
      <c r="A40" s="120" t="s">
        <v>347</v>
      </c>
      <c r="B40" s="404"/>
      <c r="C40" s="165" t="s">
        <v>460</v>
      </c>
      <c r="D40" s="166"/>
      <c r="E40" s="14" t="s">
        <v>462</v>
      </c>
      <c r="F40" s="15" t="s">
        <v>504</v>
      </c>
      <c r="G40" s="39" t="s">
        <v>505</v>
      </c>
      <c r="H40" s="176" t="s">
        <v>506</v>
      </c>
      <c r="I40" s="123" t="s">
        <v>46</v>
      </c>
      <c r="J40" s="123" t="s">
        <v>507</v>
      </c>
      <c r="K40" s="27" t="s">
        <v>424</v>
      </c>
      <c r="L40" s="123" t="s">
        <v>508</v>
      </c>
      <c r="M40" s="18" t="s">
        <v>357</v>
      </c>
      <c r="N40" s="18" t="s">
        <v>357</v>
      </c>
      <c r="O40" s="78"/>
      <c r="P40" s="77"/>
      <c r="Q40" s="78"/>
      <c r="R40" s="77"/>
      <c r="S40" s="20"/>
      <c r="T40" s="132"/>
      <c r="U40" s="78"/>
      <c r="V40" s="77"/>
      <c r="W40" s="78"/>
      <c r="X40" s="78"/>
      <c r="Y40" s="177"/>
      <c r="Z40" s="133"/>
      <c r="AA40" s="78"/>
      <c r="AB40" s="78"/>
      <c r="AC40" s="78"/>
      <c r="AD40" s="78"/>
      <c r="AE40" s="96">
        <f>((220957936/891000000))*100/100</f>
        <v>0.24798870482603819</v>
      </c>
      <c r="AF40" s="133" t="s">
        <v>513</v>
      </c>
      <c r="AG40" s="171"/>
      <c r="AH40" s="174"/>
      <c r="AI40" s="171"/>
      <c r="AJ40" s="174"/>
      <c r="AK40" s="171"/>
      <c r="AL40" s="174"/>
      <c r="AM40" s="179"/>
      <c r="AN40" s="179"/>
      <c r="AO40" s="178"/>
      <c r="AP40" s="178"/>
      <c r="AQ40" s="127"/>
      <c r="AR40" s="50" t="s">
        <v>495</v>
      </c>
      <c r="AS40" s="43" t="str">
        <f>IF($AE40&gt;=24.5%,"RESULTADOS FAVORABLES",IF($AE40&lt;12.5%,"ACCIÓN CORRECTIVA",IF($AE40&lt;24%,"OPORTUNIDAD DE MEJORA")))</f>
        <v>RESULTADOS FAVORABLES</v>
      </c>
    </row>
    <row r="41" spans="1:45" ht="285" x14ac:dyDescent="0.25">
      <c r="A41" s="120" t="s">
        <v>347</v>
      </c>
      <c r="B41" s="404"/>
      <c r="C41" s="165" t="s">
        <v>460</v>
      </c>
      <c r="D41" s="166"/>
      <c r="E41" s="14" t="s">
        <v>462</v>
      </c>
      <c r="F41" s="15" t="s">
        <v>504</v>
      </c>
      <c r="G41" s="39" t="s">
        <v>505</v>
      </c>
      <c r="H41" s="176" t="s">
        <v>506</v>
      </c>
      <c r="I41" s="123" t="s">
        <v>46</v>
      </c>
      <c r="J41" s="123" t="s">
        <v>507</v>
      </c>
      <c r="K41" s="27" t="s">
        <v>424</v>
      </c>
      <c r="L41" s="123" t="s">
        <v>508</v>
      </c>
      <c r="M41" s="18" t="s">
        <v>357</v>
      </c>
      <c r="N41" s="18" t="s">
        <v>357</v>
      </c>
      <c r="O41" s="78"/>
      <c r="P41" s="77"/>
      <c r="Q41" s="78"/>
      <c r="R41" s="77"/>
      <c r="S41" s="20"/>
      <c r="T41" s="132"/>
      <c r="U41" s="78"/>
      <c r="V41" s="77"/>
      <c r="W41" s="78"/>
      <c r="X41" s="78"/>
      <c r="Y41" s="177"/>
      <c r="Z41" s="133"/>
      <c r="AA41" s="78"/>
      <c r="AB41" s="78"/>
      <c r="AC41" s="78"/>
      <c r="AD41" s="78"/>
      <c r="AE41" s="96">
        <f>((999439186/2166903000))*100/100</f>
        <v>0.4612293148331974</v>
      </c>
      <c r="AF41" s="133" t="s">
        <v>514</v>
      </c>
      <c r="AG41" s="171"/>
      <c r="AH41" s="174"/>
      <c r="AI41" s="171"/>
      <c r="AJ41" s="174"/>
      <c r="AK41" s="171"/>
      <c r="AL41" s="174"/>
      <c r="AM41" s="179"/>
      <c r="AN41" s="179"/>
      <c r="AO41" s="178"/>
      <c r="AP41" s="178"/>
      <c r="AQ41" s="175"/>
      <c r="AR41" s="50" t="s">
        <v>495</v>
      </c>
      <c r="AS41" s="43" t="str">
        <f>IF($AE41&gt;=24.5%,"RESULTADOS FAVORABLES",IF($AE41&lt;12.5%,"ACCIÓN CORRECTIVA",IF($AE41&lt;24%,"OPORTUNIDAD DE MEJORA")))</f>
        <v>RESULTADOS FAVORABLES</v>
      </c>
    </row>
    <row r="42" spans="1:45" ht="285" x14ac:dyDescent="0.25">
      <c r="A42" s="120" t="s">
        <v>347</v>
      </c>
      <c r="B42" s="404"/>
      <c r="C42" s="165" t="s">
        <v>460</v>
      </c>
      <c r="D42" s="166"/>
      <c r="E42" s="14" t="s">
        <v>462</v>
      </c>
      <c r="F42" s="15" t="s">
        <v>504</v>
      </c>
      <c r="G42" s="39" t="s">
        <v>505</v>
      </c>
      <c r="H42" s="176" t="s">
        <v>506</v>
      </c>
      <c r="I42" s="123" t="s">
        <v>46</v>
      </c>
      <c r="J42" s="123" t="s">
        <v>507</v>
      </c>
      <c r="K42" s="27" t="s">
        <v>424</v>
      </c>
      <c r="L42" s="123" t="s">
        <v>508</v>
      </c>
      <c r="M42" s="18" t="s">
        <v>357</v>
      </c>
      <c r="N42" s="18" t="s">
        <v>357</v>
      </c>
      <c r="O42" s="78"/>
      <c r="P42" s="77"/>
      <c r="Q42" s="78"/>
      <c r="R42" s="77"/>
      <c r="S42" s="20"/>
      <c r="T42" s="132"/>
      <c r="U42" s="78"/>
      <c r="V42" s="77"/>
      <c r="W42" s="78"/>
      <c r="X42" s="78"/>
      <c r="Y42" s="177"/>
      <c r="Z42" s="133"/>
      <c r="AA42" s="78"/>
      <c r="AB42" s="78"/>
      <c r="AC42" s="78"/>
      <c r="AD42" s="78"/>
      <c r="AE42" s="96">
        <f>((1867431827/4447000000))*100/100</f>
        <v>0.41993070092196988</v>
      </c>
      <c r="AF42" s="133" t="s">
        <v>515</v>
      </c>
      <c r="AG42" s="171"/>
      <c r="AH42" s="174"/>
      <c r="AI42" s="171"/>
      <c r="AJ42" s="174"/>
      <c r="AK42" s="171"/>
      <c r="AL42" s="174"/>
      <c r="AM42" s="179"/>
      <c r="AN42" s="179"/>
      <c r="AO42" s="178"/>
      <c r="AP42" s="178"/>
      <c r="AQ42" s="127"/>
      <c r="AR42" s="50" t="s">
        <v>495</v>
      </c>
      <c r="AS42" s="43" t="str">
        <f>IF($AE42&gt;=24.5%,"RESULTADOS FAVORABLES",IF($AE42&lt;12.5%,"ACCIÓN CORRECTIVA",IF($AE42&lt;24%,"OPORTUNIDAD DE MEJORA")))</f>
        <v>RESULTADOS FAVORABLES</v>
      </c>
    </row>
    <row r="43" spans="1:45" ht="285" x14ac:dyDescent="0.25">
      <c r="A43" s="120" t="s">
        <v>347</v>
      </c>
      <c r="B43" s="404"/>
      <c r="C43" s="165" t="s">
        <v>460</v>
      </c>
      <c r="D43" s="166"/>
      <c r="E43" s="14" t="s">
        <v>462</v>
      </c>
      <c r="F43" s="15" t="s">
        <v>504</v>
      </c>
      <c r="G43" s="39" t="s">
        <v>505</v>
      </c>
      <c r="H43" s="176" t="s">
        <v>506</v>
      </c>
      <c r="I43" s="123" t="s">
        <v>46</v>
      </c>
      <c r="J43" s="123" t="s">
        <v>507</v>
      </c>
      <c r="K43" s="27" t="s">
        <v>424</v>
      </c>
      <c r="L43" s="123" t="s">
        <v>508</v>
      </c>
      <c r="M43" s="18" t="s">
        <v>357</v>
      </c>
      <c r="N43" s="18" t="s">
        <v>357</v>
      </c>
      <c r="O43" s="78"/>
      <c r="P43" s="77"/>
      <c r="Q43" s="78"/>
      <c r="R43" s="77"/>
      <c r="S43" s="20"/>
      <c r="T43" s="132"/>
      <c r="U43" s="78"/>
      <c r="V43" s="77"/>
      <c r="W43" s="78"/>
      <c r="X43" s="78"/>
      <c r="Y43" s="177"/>
      <c r="Z43" s="133"/>
      <c r="AA43" s="78"/>
      <c r="AB43" s="78"/>
      <c r="AC43" s="78"/>
      <c r="AD43" s="78"/>
      <c r="AE43" s="96">
        <f>((255422919/1453624000))*100/100</f>
        <v>0.17571457199385812</v>
      </c>
      <c r="AF43" s="133" t="s">
        <v>516</v>
      </c>
      <c r="AG43" s="171"/>
      <c r="AH43" s="174"/>
      <c r="AI43" s="171"/>
      <c r="AJ43" s="174"/>
      <c r="AK43" s="171"/>
      <c r="AL43" s="174"/>
      <c r="AM43" s="179"/>
      <c r="AN43" s="179"/>
      <c r="AO43" s="178"/>
      <c r="AP43" s="178"/>
      <c r="AQ43" s="127"/>
      <c r="AR43" s="50" t="s">
        <v>495</v>
      </c>
      <c r="AS43" s="43" t="s">
        <v>324</v>
      </c>
    </row>
    <row r="44" spans="1:45" ht="285" x14ac:dyDescent="0.25">
      <c r="A44" s="120" t="s">
        <v>347</v>
      </c>
      <c r="B44" s="404"/>
      <c r="C44" s="165" t="s">
        <v>460</v>
      </c>
      <c r="D44" s="166"/>
      <c r="E44" s="14" t="s">
        <v>462</v>
      </c>
      <c r="F44" s="15" t="s">
        <v>504</v>
      </c>
      <c r="G44" s="39" t="s">
        <v>505</v>
      </c>
      <c r="H44" s="176" t="s">
        <v>506</v>
      </c>
      <c r="I44" s="123" t="s">
        <v>46</v>
      </c>
      <c r="J44" s="123" t="s">
        <v>507</v>
      </c>
      <c r="K44" s="27" t="s">
        <v>424</v>
      </c>
      <c r="L44" s="123" t="s">
        <v>508</v>
      </c>
      <c r="M44" s="18" t="s">
        <v>357</v>
      </c>
      <c r="N44" s="18" t="s">
        <v>357</v>
      </c>
      <c r="O44" s="78"/>
      <c r="P44" s="77"/>
      <c r="Q44" s="78"/>
      <c r="R44" s="77"/>
      <c r="S44" s="20"/>
      <c r="T44" s="132"/>
      <c r="U44" s="78"/>
      <c r="V44" s="77"/>
      <c r="W44" s="78"/>
      <c r="X44" s="78"/>
      <c r="Y44" s="177"/>
      <c r="Z44" s="133"/>
      <c r="AA44" s="78"/>
      <c r="AB44" s="78"/>
      <c r="AC44" s="78"/>
      <c r="AD44" s="78"/>
      <c r="AE44" s="96">
        <f>((1859610683/3360000000))*100/100</f>
        <v>0.55345556041666666</v>
      </c>
      <c r="AF44" s="133" t="s">
        <v>517</v>
      </c>
      <c r="AG44" s="171"/>
      <c r="AH44" s="174"/>
      <c r="AI44" s="171"/>
      <c r="AJ44" s="174"/>
      <c r="AK44" s="171"/>
      <c r="AL44" s="174"/>
      <c r="AM44" s="179"/>
      <c r="AN44" s="179"/>
      <c r="AO44" s="178"/>
      <c r="AP44" s="178"/>
      <c r="AQ44" s="127"/>
      <c r="AR44" s="50" t="s">
        <v>495</v>
      </c>
      <c r="AS44" s="43" t="str">
        <f>IF($AE44&gt;=24.5%,"RESULTADOS FAVORABLES",IF($AE44&lt;12.5%,"ACCIÓN CORRECTIVA",IF($AE44&lt;24%,"OPORTUNIDAD DE MEJORA")))</f>
        <v>RESULTADOS FAVORABLES</v>
      </c>
    </row>
    <row r="45" spans="1:45" ht="375" x14ac:dyDescent="0.25">
      <c r="A45" s="120" t="s">
        <v>347</v>
      </c>
      <c r="B45" s="404"/>
      <c r="C45" s="165" t="s">
        <v>460</v>
      </c>
      <c r="D45" s="166"/>
      <c r="E45" s="14" t="s">
        <v>462</v>
      </c>
      <c r="F45" s="15" t="s">
        <v>518</v>
      </c>
      <c r="G45" s="168" t="s">
        <v>519</v>
      </c>
      <c r="H45" s="176" t="s">
        <v>520</v>
      </c>
      <c r="I45" s="123" t="s">
        <v>66</v>
      </c>
      <c r="J45" s="123" t="s">
        <v>521</v>
      </c>
      <c r="K45" s="27" t="s">
        <v>424</v>
      </c>
      <c r="L45" s="123" t="s">
        <v>508</v>
      </c>
      <c r="M45" s="27" t="s">
        <v>522</v>
      </c>
      <c r="N45" s="18" t="s">
        <v>357</v>
      </c>
      <c r="O45" s="20">
        <f>(186963269.63/261940868)</f>
        <v>0.71376135788784201</v>
      </c>
      <c r="P45" s="132" t="s">
        <v>149</v>
      </c>
      <c r="Q45" s="20">
        <f>(664426493.03/694539396)</f>
        <v>0.95664334788864869</v>
      </c>
      <c r="R45" s="132" t="s">
        <v>149</v>
      </c>
      <c r="S45" s="20">
        <f>(222881399.59/261940868)</f>
        <v>0.85088440491080608</v>
      </c>
      <c r="T45" s="132" t="s">
        <v>523</v>
      </c>
      <c r="U45" s="78" t="s">
        <v>149</v>
      </c>
      <c r="V45" s="77" t="s">
        <v>149</v>
      </c>
      <c r="W45" s="78" t="s">
        <v>149</v>
      </c>
      <c r="X45" s="78" t="s">
        <v>149</v>
      </c>
      <c r="Y45" s="20">
        <f>(491208282.93/539765715)</f>
        <v>0.91003979926735434</v>
      </c>
      <c r="Z45" s="133" t="s">
        <v>524</v>
      </c>
      <c r="AA45" s="20">
        <f>(716867057.01/722836474)</f>
        <v>0.99174167712239714</v>
      </c>
      <c r="AB45" s="78" t="s">
        <v>525</v>
      </c>
      <c r="AC45" s="20">
        <f>(955004673.37/965525101)</f>
        <v>0.98910393150928555</v>
      </c>
      <c r="AD45" s="78" t="s">
        <v>526</v>
      </c>
      <c r="AE45" s="96">
        <f>(763256828.51/758167284)</f>
        <v>1.0067129571763478</v>
      </c>
      <c r="AF45" s="78" t="s">
        <v>527</v>
      </c>
      <c r="AG45" s="171"/>
      <c r="AH45" s="174"/>
      <c r="AI45" s="171"/>
      <c r="AJ45" s="174"/>
      <c r="AK45" s="171"/>
      <c r="AL45" s="174"/>
      <c r="AM45" s="18" t="s">
        <v>528</v>
      </c>
      <c r="AN45" s="40">
        <v>1</v>
      </c>
      <c r="AO45" s="126"/>
      <c r="AP45" s="126"/>
      <c r="AQ45" s="127"/>
      <c r="AR45" s="50" t="s">
        <v>529</v>
      </c>
      <c r="AS45" s="43" t="str">
        <f>IF($AE45&gt;=24.5%,"RESULTADOS FAVORABLES",IF($AE45&lt;12.5%,"ACCIÓN CORRECTIVA",IF($AE45&lt;24%,"OPORTUNIDAD DE MEJORA")))</f>
        <v>RESULTADOS FAVORABLES</v>
      </c>
    </row>
    <row r="46" spans="1:45" ht="180" x14ac:dyDescent="0.25">
      <c r="A46" s="120" t="s">
        <v>347</v>
      </c>
      <c r="B46" s="404"/>
      <c r="C46" s="165" t="s">
        <v>460</v>
      </c>
      <c r="D46" s="166" t="s">
        <v>530</v>
      </c>
      <c r="E46" s="14" t="s">
        <v>109</v>
      </c>
      <c r="F46" s="15" t="s">
        <v>531</v>
      </c>
      <c r="G46" s="39" t="s">
        <v>532</v>
      </c>
      <c r="H46" s="176" t="s">
        <v>533</v>
      </c>
      <c r="I46" s="123" t="s">
        <v>66</v>
      </c>
      <c r="J46" s="123" t="s">
        <v>534</v>
      </c>
      <c r="K46" s="27" t="s">
        <v>424</v>
      </c>
      <c r="L46" s="123" t="s">
        <v>535</v>
      </c>
      <c r="M46" s="18" t="s">
        <v>536</v>
      </c>
      <c r="N46" s="18" t="s">
        <v>536</v>
      </c>
      <c r="O46" s="18" t="s">
        <v>149</v>
      </c>
      <c r="P46" s="18" t="s">
        <v>537</v>
      </c>
      <c r="Q46" s="18" t="s">
        <v>149</v>
      </c>
      <c r="R46" s="18" t="s">
        <v>537</v>
      </c>
      <c r="S46" s="18" t="s">
        <v>149</v>
      </c>
      <c r="T46" s="18" t="s">
        <v>537</v>
      </c>
      <c r="U46" s="78" t="s">
        <v>149</v>
      </c>
      <c r="V46" s="18" t="s">
        <v>537</v>
      </c>
      <c r="W46" s="78" t="s">
        <v>149</v>
      </c>
      <c r="X46" s="18" t="s">
        <v>537</v>
      </c>
      <c r="Y46" s="182" t="s">
        <v>149</v>
      </c>
      <c r="Z46" s="18" t="s">
        <v>537</v>
      </c>
      <c r="AA46" s="18" t="s">
        <v>149</v>
      </c>
      <c r="AB46" s="18" t="s">
        <v>537</v>
      </c>
      <c r="AC46" s="18" t="s">
        <v>149</v>
      </c>
      <c r="AD46" s="18" t="s">
        <v>537</v>
      </c>
      <c r="AE46" s="18" t="s">
        <v>149</v>
      </c>
      <c r="AF46" s="18" t="s">
        <v>537</v>
      </c>
      <c r="AG46" s="171"/>
      <c r="AH46" s="174"/>
      <c r="AI46" s="171"/>
      <c r="AJ46" s="174"/>
      <c r="AK46" s="171"/>
      <c r="AL46" s="174"/>
      <c r="AM46" s="18" t="s">
        <v>528</v>
      </c>
      <c r="AN46" s="40">
        <v>1</v>
      </c>
      <c r="AO46" s="62"/>
      <c r="AP46" s="62"/>
      <c r="AQ46" s="62"/>
      <c r="AR46" s="50"/>
      <c r="AS46" s="50" t="s">
        <v>538</v>
      </c>
    </row>
    <row r="47" spans="1:45" ht="255" x14ac:dyDescent="0.25">
      <c r="A47" s="120" t="s">
        <v>347</v>
      </c>
      <c r="B47" s="404"/>
      <c r="C47" s="165" t="s">
        <v>460</v>
      </c>
      <c r="D47" s="166"/>
      <c r="E47" s="14" t="s">
        <v>109</v>
      </c>
      <c r="F47" s="15" t="s">
        <v>539</v>
      </c>
      <c r="G47" s="39" t="s">
        <v>540</v>
      </c>
      <c r="H47" s="176" t="s">
        <v>541</v>
      </c>
      <c r="I47" s="123" t="s">
        <v>66</v>
      </c>
      <c r="J47" s="123" t="s">
        <v>542</v>
      </c>
      <c r="K47" s="123" t="s">
        <v>543</v>
      </c>
      <c r="L47" s="123" t="s">
        <v>535</v>
      </c>
      <c r="M47" s="18" t="s">
        <v>357</v>
      </c>
      <c r="N47" s="18" t="s">
        <v>357</v>
      </c>
      <c r="O47" s="18" t="s">
        <v>149</v>
      </c>
      <c r="P47" s="176" t="s">
        <v>149</v>
      </c>
      <c r="Q47" s="18" t="s">
        <v>149</v>
      </c>
      <c r="R47" s="176" t="s">
        <v>149</v>
      </c>
      <c r="S47" s="18" t="s">
        <v>149</v>
      </c>
      <c r="T47" s="176" t="s">
        <v>149</v>
      </c>
      <c r="U47" s="78" t="s">
        <v>149</v>
      </c>
      <c r="V47" s="78" t="s">
        <v>149</v>
      </c>
      <c r="W47" s="78" t="s">
        <v>149</v>
      </c>
      <c r="X47" s="78" t="s">
        <v>149</v>
      </c>
      <c r="Y47" s="182" t="s">
        <v>149</v>
      </c>
      <c r="Z47" s="78" t="s">
        <v>149</v>
      </c>
      <c r="AA47" s="18" t="s">
        <v>149</v>
      </c>
      <c r="AB47" s="18" t="s">
        <v>149</v>
      </c>
      <c r="AC47" s="18" t="s">
        <v>149</v>
      </c>
      <c r="AD47" s="18" t="s">
        <v>149</v>
      </c>
      <c r="AE47" s="96">
        <f>(471800/2228600)</f>
        <v>0.21170241407161447</v>
      </c>
      <c r="AF47" s="78" t="s">
        <v>544</v>
      </c>
      <c r="AG47" s="171"/>
      <c r="AH47" s="174"/>
      <c r="AI47" s="171"/>
      <c r="AJ47" s="174"/>
      <c r="AK47" s="171"/>
      <c r="AL47" s="174"/>
      <c r="AM47" s="18" t="s">
        <v>528</v>
      </c>
      <c r="AN47" s="40">
        <v>1</v>
      </c>
      <c r="AO47" s="100"/>
      <c r="AP47" s="62"/>
      <c r="AQ47" s="62"/>
      <c r="AR47" s="50" t="s">
        <v>545</v>
      </c>
      <c r="AS47" s="51" t="s">
        <v>377</v>
      </c>
    </row>
    <row r="48" spans="1:45" ht="195" x14ac:dyDescent="0.25">
      <c r="A48" s="120" t="s">
        <v>347</v>
      </c>
      <c r="B48" s="404"/>
      <c r="C48" s="165" t="s">
        <v>460</v>
      </c>
      <c r="D48" s="166" t="s">
        <v>546</v>
      </c>
      <c r="E48" s="14" t="s">
        <v>547</v>
      </c>
      <c r="F48" s="167" t="s">
        <v>548</v>
      </c>
      <c r="G48" s="16" t="s">
        <v>549</v>
      </c>
      <c r="H48" s="16" t="s">
        <v>550</v>
      </c>
      <c r="I48" s="123" t="s">
        <v>46</v>
      </c>
      <c r="J48" s="17" t="s">
        <v>551</v>
      </c>
      <c r="K48" s="123" t="s">
        <v>424</v>
      </c>
      <c r="L48" s="17" t="s">
        <v>467</v>
      </c>
      <c r="M48" s="18" t="s">
        <v>50</v>
      </c>
      <c r="N48" s="18" t="s">
        <v>50</v>
      </c>
      <c r="O48" s="183">
        <f>712227366/2573428142</f>
        <v>0.2767620958114167</v>
      </c>
      <c r="P48" s="20" t="s">
        <v>552</v>
      </c>
      <c r="Q48" s="183">
        <f>338595068/2366626819</f>
        <v>0.14307074747976986</v>
      </c>
      <c r="R48" s="20" t="s">
        <v>553</v>
      </c>
      <c r="S48" s="183">
        <f>278137747/2234588239</f>
        <v>0.12446935061488973</v>
      </c>
      <c r="T48" s="20" t="s">
        <v>554</v>
      </c>
      <c r="U48" s="44">
        <f>1053085030/3107636255</f>
        <v>0.33887010691989755</v>
      </c>
      <c r="V48" s="17" t="s">
        <v>555</v>
      </c>
      <c r="W48" s="44">
        <f>1219195060/2852488331</f>
        <v>0.42741456529379929</v>
      </c>
      <c r="X48" s="23" t="s">
        <v>556</v>
      </c>
      <c r="Y48" s="44">
        <f>510715509/3203689268</f>
        <v>0.15941480782836021</v>
      </c>
      <c r="Z48" s="23" t="s">
        <v>557</v>
      </c>
      <c r="AA48" s="44">
        <f>521471724/2931793114</f>
        <v>0.17786784528207333</v>
      </c>
      <c r="AB48" s="23" t="s">
        <v>558</v>
      </c>
      <c r="AC48" s="44">
        <f>388802110/3078861278</f>
        <v>0.12628113932192564</v>
      </c>
      <c r="AD48" s="23" t="s">
        <v>559</v>
      </c>
      <c r="AE48" s="44">
        <f>731318001/4589139558</f>
        <v>0.15935841387197142</v>
      </c>
      <c r="AF48" s="23" t="s">
        <v>560</v>
      </c>
      <c r="AG48" s="171"/>
      <c r="AH48" s="174"/>
      <c r="AI48" s="171"/>
      <c r="AJ48" s="174"/>
      <c r="AK48" s="171"/>
      <c r="AL48" s="174"/>
      <c r="AM48" s="18" t="s">
        <v>528</v>
      </c>
      <c r="AN48" s="18" t="s">
        <v>561</v>
      </c>
      <c r="AO48" s="180"/>
      <c r="AP48" s="126"/>
      <c r="AQ48" s="184"/>
      <c r="AR48" s="28" t="s">
        <v>264</v>
      </c>
      <c r="AS48" s="51" t="str">
        <f>+[1]Hoja1!$AG$20</f>
        <v>ACCIÓN CORRECTIVA</v>
      </c>
    </row>
    <row r="49" spans="1:45" ht="150" x14ac:dyDescent="0.25">
      <c r="A49" s="120" t="s">
        <v>347</v>
      </c>
      <c r="B49" s="404"/>
      <c r="C49" s="165" t="s">
        <v>460</v>
      </c>
      <c r="D49" s="166"/>
      <c r="E49" s="14" t="s">
        <v>547</v>
      </c>
      <c r="F49" s="15" t="s">
        <v>562</v>
      </c>
      <c r="G49" s="39" t="s">
        <v>563</v>
      </c>
      <c r="H49" s="176" t="s">
        <v>564</v>
      </c>
      <c r="I49" s="123" t="s">
        <v>46</v>
      </c>
      <c r="J49" s="123" t="s">
        <v>565</v>
      </c>
      <c r="K49" s="123" t="s">
        <v>566</v>
      </c>
      <c r="L49" s="123" t="s">
        <v>467</v>
      </c>
      <c r="M49" s="18" t="s">
        <v>50</v>
      </c>
      <c r="N49" s="18" t="s">
        <v>50</v>
      </c>
      <c r="O49" s="20">
        <f>((610/457)-1)</f>
        <v>0.33479212253829327</v>
      </c>
      <c r="P49" s="132" t="s">
        <v>567</v>
      </c>
      <c r="Q49" s="20">
        <f>((819/858)-1)</f>
        <v>-4.5454545454545414E-2</v>
      </c>
      <c r="R49" s="132" t="s">
        <v>568</v>
      </c>
      <c r="S49" s="20">
        <f>((420/635)-1)</f>
        <v>-0.33858267716535428</v>
      </c>
      <c r="T49" s="132" t="s">
        <v>569</v>
      </c>
      <c r="U49" s="185">
        <f>((281/1043)-1)*100</f>
        <v>-73.058485139022039</v>
      </c>
      <c r="V49" s="132" t="s">
        <v>570</v>
      </c>
      <c r="W49" s="185">
        <f>((378/922)-1)*100</f>
        <v>-59.00216919739696</v>
      </c>
      <c r="X49" s="133" t="s">
        <v>571</v>
      </c>
      <c r="Y49" s="20">
        <f>((333/630)-1)</f>
        <v>-0.47142857142857142</v>
      </c>
      <c r="Z49" s="133" t="s">
        <v>572</v>
      </c>
      <c r="AA49" s="20">
        <f>((336/558)-1)</f>
        <v>-0.39784946236559138</v>
      </c>
      <c r="AB49" s="133" t="s">
        <v>573</v>
      </c>
      <c r="AC49" s="20">
        <f>((476/648)-1)</f>
        <v>-0.26543209876543206</v>
      </c>
      <c r="AD49" s="133" t="s">
        <v>574</v>
      </c>
      <c r="AE49" s="20">
        <f>((589/703)-1)</f>
        <v>-0.16216216216216217</v>
      </c>
      <c r="AF49" s="133" t="s">
        <v>575</v>
      </c>
      <c r="AG49" s="171"/>
      <c r="AH49" s="174"/>
      <c r="AI49" s="171"/>
      <c r="AJ49" s="174"/>
      <c r="AK49" s="171"/>
      <c r="AL49" s="174"/>
      <c r="AM49" s="18" t="s">
        <v>528</v>
      </c>
      <c r="AN49" s="18" t="s">
        <v>576</v>
      </c>
      <c r="AO49" s="178"/>
      <c r="AP49" s="178"/>
      <c r="AQ49" s="127"/>
      <c r="AR49" s="50" t="s">
        <v>495</v>
      </c>
      <c r="AS49" s="43" t="str">
        <f>IF($AE49&lt;=10%,"RESULTADOS FAVORABLES",IF($AE49&gt;11%,"ACCIÓN CORRECTIVA",IF($AE49&gt;10.5%,"OPORTUNIDAD DE MEJORA")))</f>
        <v>RESULTADOS FAVORABLES</v>
      </c>
    </row>
    <row r="50" spans="1:45" ht="120" x14ac:dyDescent="0.25">
      <c r="A50" s="120" t="s">
        <v>347</v>
      </c>
      <c r="B50" s="404"/>
      <c r="C50" s="165" t="s">
        <v>460</v>
      </c>
      <c r="D50" s="166"/>
      <c r="E50" s="14" t="s">
        <v>547</v>
      </c>
      <c r="F50" s="15" t="s">
        <v>577</v>
      </c>
      <c r="G50" s="39" t="s">
        <v>578</v>
      </c>
      <c r="H50" s="176" t="s">
        <v>579</v>
      </c>
      <c r="I50" s="123" t="s">
        <v>66</v>
      </c>
      <c r="J50" s="123" t="s">
        <v>580</v>
      </c>
      <c r="K50" s="123" t="s">
        <v>581</v>
      </c>
      <c r="L50" s="123" t="s">
        <v>467</v>
      </c>
      <c r="M50" s="18" t="s">
        <v>50</v>
      </c>
      <c r="N50" s="18" t="s">
        <v>50</v>
      </c>
      <c r="O50" s="20">
        <f>(1/1)</f>
        <v>1</v>
      </c>
      <c r="P50" s="132" t="s">
        <v>582</v>
      </c>
      <c r="Q50" s="20">
        <f>+(15/15)</f>
        <v>1</v>
      </c>
      <c r="R50" s="132" t="s">
        <v>583</v>
      </c>
      <c r="S50" s="20">
        <f>+(6/6)</f>
        <v>1</v>
      </c>
      <c r="T50" s="132" t="s">
        <v>584</v>
      </c>
      <c r="U50" s="185">
        <f>+(6/6)*100</f>
        <v>100</v>
      </c>
      <c r="V50" s="132" t="s">
        <v>585</v>
      </c>
      <c r="W50" s="185">
        <f>+(13/13)*100</f>
        <v>100</v>
      </c>
      <c r="X50" s="133" t="s">
        <v>586</v>
      </c>
      <c r="Y50" s="173">
        <f>+(10/10)</f>
        <v>1</v>
      </c>
      <c r="Z50" s="133" t="s">
        <v>587</v>
      </c>
      <c r="AA50" s="20">
        <f>+(9/9)</f>
        <v>1</v>
      </c>
      <c r="AB50" s="133" t="s">
        <v>588</v>
      </c>
      <c r="AC50" s="20">
        <f>+(7/7)</f>
        <v>1</v>
      </c>
      <c r="AD50" s="133" t="s">
        <v>589</v>
      </c>
      <c r="AE50" s="20">
        <f>+(5/5)</f>
        <v>1</v>
      </c>
      <c r="AF50" s="133" t="s">
        <v>590</v>
      </c>
      <c r="AG50" s="171"/>
      <c r="AH50" s="174"/>
      <c r="AI50" s="171"/>
      <c r="AJ50" s="174"/>
      <c r="AK50" s="171"/>
      <c r="AL50" s="174"/>
      <c r="AM50" s="18" t="s">
        <v>528</v>
      </c>
      <c r="AN50" s="40">
        <v>1</v>
      </c>
      <c r="AO50" s="126"/>
      <c r="AP50" s="126"/>
      <c r="AQ50" s="59"/>
      <c r="AR50" s="50" t="s">
        <v>495</v>
      </c>
      <c r="AS50" s="43" t="str">
        <f>IF($AE50&gt;=25%,"RESULTADOS FAVORABLES",IF($AE50&lt;12.5%,"ACCIÓN CORRECTIVA",IF($AE50&lt;24%,"OPORTUNIDAD DE MEJORA")))</f>
        <v>RESULTADOS FAVORABLES</v>
      </c>
    </row>
    <row r="51" spans="1:45" ht="195" x14ac:dyDescent="0.25">
      <c r="A51" s="120" t="s">
        <v>347</v>
      </c>
      <c r="B51" s="91" t="s">
        <v>591</v>
      </c>
      <c r="C51" s="73" t="s">
        <v>592</v>
      </c>
      <c r="D51" s="93" t="s">
        <v>593</v>
      </c>
      <c r="E51" s="14" t="s">
        <v>594</v>
      </c>
      <c r="F51" s="103" t="s">
        <v>595</v>
      </c>
      <c r="G51" s="16" t="s">
        <v>596</v>
      </c>
      <c r="H51" s="16" t="s">
        <v>597</v>
      </c>
      <c r="I51" s="17" t="s">
        <v>46</v>
      </c>
      <c r="J51" s="17" t="s">
        <v>598</v>
      </c>
      <c r="K51" s="17" t="s">
        <v>424</v>
      </c>
      <c r="L51" s="17" t="s">
        <v>599</v>
      </c>
      <c r="M51" s="18" t="s">
        <v>468</v>
      </c>
      <c r="N51" s="18" t="s">
        <v>468</v>
      </c>
      <c r="O51" s="186">
        <f>137324683/2573428142</f>
        <v>5.3362548096359472E-2</v>
      </c>
      <c r="P51" s="20" t="s">
        <v>600</v>
      </c>
      <c r="Q51" s="186">
        <f>227897603/2366626819</f>
        <v>9.6296383177258332E-2</v>
      </c>
      <c r="R51" s="20" t="s">
        <v>601</v>
      </c>
      <c r="S51" s="186">
        <f>221552915/2234588239</f>
        <v>9.9147087205268339E-2</v>
      </c>
      <c r="T51" s="20" t="s">
        <v>602</v>
      </c>
      <c r="U51" s="187">
        <f>218360411/3107636255</f>
        <v>7.0265756054516099E-2</v>
      </c>
      <c r="V51" s="17" t="s">
        <v>603</v>
      </c>
      <c r="W51" s="187">
        <f>226249422/2852488331</f>
        <v>7.9316510970855916E-2</v>
      </c>
      <c r="X51" s="23" t="s">
        <v>604</v>
      </c>
      <c r="Y51" s="187">
        <f>226555481/3203689268</f>
        <v>7.0717058381081416E-2</v>
      </c>
      <c r="Z51" s="23" t="s">
        <v>605</v>
      </c>
      <c r="AA51" s="186">
        <f>209911547/2931793114</f>
        <v>7.1598349145996387E-2</v>
      </c>
      <c r="AB51" s="23" t="s">
        <v>606</v>
      </c>
      <c r="AC51" s="186">
        <f>289518660/3078861278</f>
        <v>9.4034330831582205E-2</v>
      </c>
      <c r="AD51" s="23" t="s">
        <v>607</v>
      </c>
      <c r="AE51" s="186">
        <f>228626600/4589139558</f>
        <v>4.9819055862323373E-2</v>
      </c>
      <c r="AF51" s="23" t="s">
        <v>608</v>
      </c>
      <c r="AG51" s="107"/>
      <c r="AH51" s="25"/>
      <c r="AI51" s="171"/>
      <c r="AJ51" s="25"/>
      <c r="AK51" s="171"/>
      <c r="AL51" s="25"/>
      <c r="AM51" s="18" t="s">
        <v>528</v>
      </c>
      <c r="AN51" s="18" t="s">
        <v>561</v>
      </c>
      <c r="AO51" s="126"/>
      <c r="AP51" s="126"/>
      <c r="AQ51" s="127"/>
      <c r="AR51" s="50" t="s">
        <v>367</v>
      </c>
      <c r="AS51" s="43" t="str">
        <f>+[1]Hoja1!$AG$21</f>
        <v>RESULTADOS FAVORABLES</v>
      </c>
    </row>
    <row r="52" spans="1:45" ht="285" x14ac:dyDescent="0.25">
      <c r="A52" s="120" t="s">
        <v>347</v>
      </c>
      <c r="B52" s="102"/>
      <c r="C52" s="73" t="s">
        <v>592</v>
      </c>
      <c r="D52" s="188"/>
      <c r="E52" s="14" t="s">
        <v>594</v>
      </c>
      <c r="F52" s="103" t="s">
        <v>609</v>
      </c>
      <c r="G52" s="39" t="s">
        <v>610</v>
      </c>
      <c r="H52" s="39" t="s">
        <v>611</v>
      </c>
      <c r="I52" s="27" t="s">
        <v>66</v>
      </c>
      <c r="J52" s="27" t="s">
        <v>612</v>
      </c>
      <c r="K52" s="189" t="s">
        <v>613</v>
      </c>
      <c r="L52" s="27" t="s">
        <v>599</v>
      </c>
      <c r="M52" s="18" t="s">
        <v>357</v>
      </c>
      <c r="N52" s="18" t="s">
        <v>357</v>
      </c>
      <c r="O52" s="107" t="s">
        <v>86</v>
      </c>
      <c r="P52" s="57" t="s">
        <v>614</v>
      </c>
      <c r="Q52" s="107" t="s">
        <v>86</v>
      </c>
      <c r="R52" s="57" t="s">
        <v>615</v>
      </c>
      <c r="S52" s="190">
        <f>(8/19)</f>
        <v>0.42105263157894735</v>
      </c>
      <c r="T52" s="57" t="s">
        <v>616</v>
      </c>
      <c r="U52" s="188" t="s">
        <v>86</v>
      </c>
      <c r="V52" s="188" t="s">
        <v>617</v>
      </c>
      <c r="W52" s="188" t="s">
        <v>86</v>
      </c>
      <c r="X52" s="191" t="s">
        <v>618</v>
      </c>
      <c r="Y52" s="192">
        <f>(9*100%)/19</f>
        <v>0.47368421052631576</v>
      </c>
      <c r="Z52" s="191" t="s">
        <v>619</v>
      </c>
      <c r="AA52" s="187" t="s">
        <v>86</v>
      </c>
      <c r="AB52" s="27" t="s">
        <v>620</v>
      </c>
      <c r="AC52" s="187" t="s">
        <v>86</v>
      </c>
      <c r="AD52" s="27" t="s">
        <v>621</v>
      </c>
      <c r="AE52" s="192">
        <f>(14*100%)/19</f>
        <v>0.73684210526315785</v>
      </c>
      <c r="AF52" s="27" t="s">
        <v>622</v>
      </c>
      <c r="AG52" s="187"/>
      <c r="AH52" s="39"/>
      <c r="AI52" s="187"/>
      <c r="AJ52" s="39"/>
      <c r="AK52" s="187"/>
      <c r="AL52" s="39"/>
      <c r="AM52" s="40">
        <v>0</v>
      </c>
      <c r="AN52" s="40">
        <v>1</v>
      </c>
      <c r="AO52" s="126"/>
      <c r="AP52" s="126"/>
      <c r="AQ52" s="59"/>
      <c r="AR52" s="193" t="s">
        <v>623</v>
      </c>
      <c r="AS52" s="43" t="str">
        <f>IF($AE52&gt;=25%,"RESULTADOS FAVORABLES",IF($AE52&lt;12.5%,"ACCIÓN CORRECTIVA",IF($AE52&lt;24%,"OPORTUNIDAD DE MEJORA")))</f>
        <v>RESULTADOS FAVORABLES</v>
      </c>
    </row>
    <row r="53" spans="1:45" ht="285" x14ac:dyDescent="0.25">
      <c r="A53" s="120" t="s">
        <v>347</v>
      </c>
      <c r="B53" s="102"/>
      <c r="C53" s="73" t="s">
        <v>592</v>
      </c>
      <c r="D53" s="188"/>
      <c r="E53" s="14" t="s">
        <v>594</v>
      </c>
      <c r="F53" s="103" t="s">
        <v>624</v>
      </c>
      <c r="G53" s="14" t="s">
        <v>625</v>
      </c>
      <c r="H53" s="194" t="s">
        <v>626</v>
      </c>
      <c r="I53" s="189" t="s">
        <v>66</v>
      </c>
      <c r="J53" s="189" t="s">
        <v>627</v>
      </c>
      <c r="K53" s="189" t="s">
        <v>613</v>
      </c>
      <c r="L53" s="189" t="s">
        <v>599</v>
      </c>
      <c r="M53" s="18" t="s">
        <v>357</v>
      </c>
      <c r="N53" s="18" t="s">
        <v>357</v>
      </c>
      <c r="O53" s="107" t="s">
        <v>86</v>
      </c>
      <c r="P53" s="57" t="s">
        <v>628</v>
      </c>
      <c r="Q53" s="107" t="s">
        <v>86</v>
      </c>
      <c r="R53" s="57" t="s">
        <v>629</v>
      </c>
      <c r="S53" s="190">
        <f>(9)/26</f>
        <v>0.34615384615384615</v>
      </c>
      <c r="T53" s="57" t="s">
        <v>630</v>
      </c>
      <c r="U53" s="188" t="s">
        <v>86</v>
      </c>
      <c r="V53" s="191" t="s">
        <v>631</v>
      </c>
      <c r="W53" s="188" t="s">
        <v>86</v>
      </c>
      <c r="X53" s="191" t="s">
        <v>632</v>
      </c>
      <c r="Y53" s="192">
        <f>(11*100%)/26</f>
        <v>0.42307692307692307</v>
      </c>
      <c r="Z53" s="191" t="s">
        <v>633</v>
      </c>
      <c r="AA53" s="187" t="s">
        <v>86</v>
      </c>
      <c r="AB53" s="191" t="s">
        <v>634</v>
      </c>
      <c r="AC53" s="187" t="s">
        <v>86</v>
      </c>
      <c r="AD53" s="191" t="s">
        <v>635</v>
      </c>
      <c r="AE53" s="192">
        <f>(21*100%)/26</f>
        <v>0.80769230769230771</v>
      </c>
      <c r="AF53" s="191" t="s">
        <v>636</v>
      </c>
      <c r="AG53" s="187"/>
      <c r="AH53" s="39"/>
      <c r="AI53" s="187"/>
      <c r="AJ53" s="152"/>
      <c r="AK53" s="187"/>
      <c r="AL53" s="39"/>
      <c r="AM53" s="40">
        <v>0.9</v>
      </c>
      <c r="AN53" s="18" t="s">
        <v>637</v>
      </c>
      <c r="AO53" s="126"/>
      <c r="AP53" s="126"/>
      <c r="AQ53" s="59"/>
      <c r="AR53" s="193" t="s">
        <v>623</v>
      </c>
      <c r="AS53" s="43" t="str">
        <f>IF($AE53&gt;=25%,"RESULTADOS FAVORABLES",IF($AE53&lt;12.5%,"ACCIÓN CORRECTIVA",IF($AE53&lt;24%,"OPORTUNIDAD DE MEJORA")))</f>
        <v>RESULTADOS FAVORABLES</v>
      </c>
    </row>
    <row r="54" spans="1:45" ht="360" x14ac:dyDescent="0.25">
      <c r="A54" s="120" t="s">
        <v>347</v>
      </c>
      <c r="B54" s="102"/>
      <c r="C54" s="73" t="s">
        <v>592</v>
      </c>
      <c r="D54" s="195"/>
      <c r="E54" s="14" t="s">
        <v>594</v>
      </c>
      <c r="F54" s="103" t="s">
        <v>638</v>
      </c>
      <c r="G54" s="14" t="s">
        <v>639</v>
      </c>
      <c r="H54" s="194" t="s">
        <v>640</v>
      </c>
      <c r="I54" s="189" t="s">
        <v>66</v>
      </c>
      <c r="J54" s="191" t="s">
        <v>641</v>
      </c>
      <c r="K54" s="189" t="s">
        <v>642</v>
      </c>
      <c r="L54" s="189" t="s">
        <v>599</v>
      </c>
      <c r="M54" s="18" t="s">
        <v>50</v>
      </c>
      <c r="N54" s="18" t="s">
        <v>50</v>
      </c>
      <c r="O54" s="117">
        <f>(2*100%)/456</f>
        <v>4.3859649122807015E-3</v>
      </c>
      <c r="P54" s="129" t="s">
        <v>643</v>
      </c>
      <c r="Q54" s="107">
        <v>0</v>
      </c>
      <c r="R54" s="129" t="s">
        <v>644</v>
      </c>
      <c r="S54" s="107">
        <v>0</v>
      </c>
      <c r="T54" s="129" t="s">
        <v>644</v>
      </c>
      <c r="U54" s="196">
        <f>(0*100%)/823</f>
        <v>0</v>
      </c>
      <c r="V54" s="152" t="s">
        <v>645</v>
      </c>
      <c r="W54" s="196">
        <f>(0*100%)/520</f>
        <v>0</v>
      </c>
      <c r="X54" s="191" t="s">
        <v>646</v>
      </c>
      <c r="Y54" s="196">
        <f>(0*100%)/580</f>
        <v>0</v>
      </c>
      <c r="Z54" s="191" t="s">
        <v>647</v>
      </c>
      <c r="AA54" s="196">
        <f>(0*100%)/580</f>
        <v>0</v>
      </c>
      <c r="AB54" s="191" t="s">
        <v>648</v>
      </c>
      <c r="AC54" s="196">
        <f>(0*100%)/580</f>
        <v>0</v>
      </c>
      <c r="AD54" s="191" t="s">
        <v>649</v>
      </c>
      <c r="AE54" s="196">
        <f>(0*100%)/580</f>
        <v>0</v>
      </c>
      <c r="AF54" s="191" t="s">
        <v>647</v>
      </c>
      <c r="AG54" s="192"/>
      <c r="AH54" s="152"/>
      <c r="AI54" s="192"/>
      <c r="AJ54" s="152"/>
      <c r="AK54" s="192"/>
      <c r="AL54" s="152"/>
      <c r="AM54" s="18" t="s">
        <v>650</v>
      </c>
      <c r="AN54" s="18" t="s">
        <v>651</v>
      </c>
      <c r="AO54" s="126"/>
      <c r="AP54" s="126"/>
      <c r="AQ54" s="59"/>
      <c r="AR54" s="193" t="s">
        <v>623</v>
      </c>
      <c r="AS54" s="43" t="str">
        <f>IF($AE54&lt;=5%,"RESULTADOS FAVORABLES",IF($AE54&gt;6%,"ACCIÓN CORRECTIVA",IF($AE54&gt;5.5%,"OPORTUNIDAD DE MEJORA")))</f>
        <v>RESULTADOS FAVORABLES</v>
      </c>
    </row>
    <row r="55" spans="1:45" ht="195" x14ac:dyDescent="0.25">
      <c r="A55" s="120" t="s">
        <v>347</v>
      </c>
      <c r="B55" s="102"/>
      <c r="C55" s="73" t="s">
        <v>592</v>
      </c>
      <c r="D55" s="195"/>
      <c r="E55" s="14" t="s">
        <v>594</v>
      </c>
      <c r="F55" s="103" t="s">
        <v>652</v>
      </c>
      <c r="G55" s="197" t="s">
        <v>653</v>
      </c>
      <c r="H55" s="194" t="s">
        <v>654</v>
      </c>
      <c r="I55" s="189" t="s">
        <v>66</v>
      </c>
      <c r="J55" s="189" t="s">
        <v>655</v>
      </c>
      <c r="K55" s="189" t="s">
        <v>642</v>
      </c>
      <c r="L55" s="189" t="s">
        <v>599</v>
      </c>
      <c r="M55" s="18" t="s">
        <v>50</v>
      </c>
      <c r="N55" s="18" t="s">
        <v>50</v>
      </c>
      <c r="O55" s="198">
        <f>244485.5/1312740</f>
        <v>0.18624061124061125</v>
      </c>
      <c r="P55" s="146" t="s">
        <v>656</v>
      </c>
      <c r="Q55" s="198">
        <f>(269277.78)/1433100</f>
        <v>0.18789880678249948</v>
      </c>
      <c r="R55" s="146" t="s">
        <v>656</v>
      </c>
      <c r="S55" s="198">
        <f>(359657.78)/1620270</f>
        <v>0.22197397964536777</v>
      </c>
      <c r="T55" s="146" t="s">
        <v>656</v>
      </c>
      <c r="U55" s="190">
        <v>0</v>
      </c>
      <c r="V55" s="194" t="s">
        <v>657</v>
      </c>
      <c r="W55" s="190">
        <v>0</v>
      </c>
      <c r="X55" s="189" t="s">
        <v>657</v>
      </c>
      <c r="Y55" s="190">
        <v>0</v>
      </c>
      <c r="Z55" s="189" t="s">
        <v>657</v>
      </c>
      <c r="AA55" s="192">
        <v>0.14000000000000001</v>
      </c>
      <c r="AB55" s="189" t="s">
        <v>657</v>
      </c>
      <c r="AC55" s="192">
        <v>0.16</v>
      </c>
      <c r="AD55" s="189" t="s">
        <v>657</v>
      </c>
      <c r="AE55" s="192">
        <v>0.2</v>
      </c>
      <c r="AF55" s="189" t="s">
        <v>657</v>
      </c>
      <c r="AG55" s="192"/>
      <c r="AH55" s="152"/>
      <c r="AI55" s="192"/>
      <c r="AJ55" s="152"/>
      <c r="AK55" s="192"/>
      <c r="AL55" s="152"/>
      <c r="AM55" s="18" t="s">
        <v>650</v>
      </c>
      <c r="AN55" s="18" t="s">
        <v>658</v>
      </c>
      <c r="AO55" s="180"/>
      <c r="AP55" s="126"/>
      <c r="AQ55" s="58"/>
      <c r="AR55" s="50" t="s">
        <v>659</v>
      </c>
      <c r="AS55" s="51" t="s">
        <v>377</v>
      </c>
    </row>
    <row r="56" spans="1:45" ht="195" x14ac:dyDescent="0.25">
      <c r="A56" s="120" t="s">
        <v>347</v>
      </c>
      <c r="B56" s="102"/>
      <c r="C56" s="73" t="s">
        <v>592</v>
      </c>
      <c r="D56" s="195"/>
      <c r="E56" s="14" t="s">
        <v>660</v>
      </c>
      <c r="F56" s="103" t="s">
        <v>661</v>
      </c>
      <c r="G56" s="14" t="s">
        <v>662</v>
      </c>
      <c r="H56" s="194" t="s">
        <v>663</v>
      </c>
      <c r="I56" s="189" t="s">
        <v>66</v>
      </c>
      <c r="J56" s="189" t="s">
        <v>664</v>
      </c>
      <c r="K56" s="189" t="s">
        <v>665</v>
      </c>
      <c r="L56" s="189" t="s">
        <v>599</v>
      </c>
      <c r="M56" s="18" t="s">
        <v>50</v>
      </c>
      <c r="N56" s="18" t="s">
        <v>50</v>
      </c>
      <c r="O56" s="107">
        <v>0</v>
      </c>
      <c r="P56" s="146" t="s">
        <v>666</v>
      </c>
      <c r="Q56" s="107">
        <v>0</v>
      </c>
      <c r="R56" s="146" t="s">
        <v>666</v>
      </c>
      <c r="S56" s="107">
        <v>0</v>
      </c>
      <c r="T56" s="146" t="s">
        <v>667</v>
      </c>
      <c r="U56" s="188">
        <v>0</v>
      </c>
      <c r="V56" s="194" t="s">
        <v>668</v>
      </c>
      <c r="W56" s="188">
        <v>0</v>
      </c>
      <c r="X56" s="189" t="s">
        <v>668</v>
      </c>
      <c r="Y56" s="188">
        <v>0</v>
      </c>
      <c r="Z56" s="189" t="s">
        <v>669</v>
      </c>
      <c r="AA56" s="188">
        <v>0</v>
      </c>
      <c r="AB56" s="191" t="s">
        <v>670</v>
      </c>
      <c r="AC56" s="188">
        <v>1.64</v>
      </c>
      <c r="AD56" s="191" t="s">
        <v>671</v>
      </c>
      <c r="AE56" s="192">
        <v>8.5000000000000006E-3</v>
      </c>
      <c r="AF56" s="191" t="s">
        <v>672</v>
      </c>
      <c r="AG56" s="199"/>
      <c r="AH56" s="152"/>
      <c r="AI56" s="200"/>
      <c r="AJ56" s="194"/>
      <c r="AK56" s="200"/>
      <c r="AL56" s="194"/>
      <c r="AM56" s="40" t="s">
        <v>673</v>
      </c>
      <c r="AN56" s="40" t="s">
        <v>674</v>
      </c>
      <c r="AO56" s="126"/>
      <c r="AP56" s="126"/>
      <c r="AQ56" s="127"/>
      <c r="AR56" s="193" t="s">
        <v>623</v>
      </c>
      <c r="AS56" s="43" t="str">
        <f>IF($AE56&lt;=7.86%,"RESULTADOS FAVORABLES",IF($AE56&gt;6%,"ACCIÓN CORRECTIVA",IF($AE56&gt;6.5%,"OPORTUNIDAD DE MEJORA")))</f>
        <v>RESULTADOS FAVORABLES</v>
      </c>
    </row>
    <row r="57" spans="1:45" ht="409.5" x14ac:dyDescent="0.25">
      <c r="A57" s="120" t="s">
        <v>347</v>
      </c>
      <c r="B57" s="102"/>
      <c r="C57" s="73" t="s">
        <v>592</v>
      </c>
      <c r="D57" s="195"/>
      <c r="E57" s="14" t="s">
        <v>660</v>
      </c>
      <c r="F57" s="103" t="s">
        <v>675</v>
      </c>
      <c r="G57" s="14" t="s">
        <v>676</v>
      </c>
      <c r="H57" s="194" t="s">
        <v>677</v>
      </c>
      <c r="I57" s="189" t="s">
        <v>66</v>
      </c>
      <c r="J57" s="189" t="s">
        <v>678</v>
      </c>
      <c r="K57" s="189" t="s">
        <v>613</v>
      </c>
      <c r="L57" s="189" t="s">
        <v>599</v>
      </c>
      <c r="M57" s="18" t="s">
        <v>357</v>
      </c>
      <c r="N57" s="18" t="s">
        <v>357</v>
      </c>
      <c r="O57" s="190" t="s">
        <v>86</v>
      </c>
      <c r="P57" s="146" t="s">
        <v>679</v>
      </c>
      <c r="Q57" s="190" t="s">
        <v>86</v>
      </c>
      <c r="R57" s="146" t="s">
        <v>680</v>
      </c>
      <c r="S57" s="190">
        <f>25/100</f>
        <v>0.25</v>
      </c>
      <c r="T57" s="146" t="s">
        <v>680</v>
      </c>
      <c r="U57" s="201">
        <v>0</v>
      </c>
      <c r="V57" s="194" t="s">
        <v>681</v>
      </c>
      <c r="W57" s="201">
        <v>0</v>
      </c>
      <c r="X57" s="189" t="s">
        <v>682</v>
      </c>
      <c r="Y57" s="201">
        <f>69/220*100%</f>
        <v>0.31363636363636366</v>
      </c>
      <c r="Z57" s="189" t="s">
        <v>683</v>
      </c>
      <c r="AA57" s="187" t="s">
        <v>86</v>
      </c>
      <c r="AB57" s="189" t="s">
        <v>684</v>
      </c>
      <c r="AC57" s="187" t="s">
        <v>86</v>
      </c>
      <c r="AD57" s="189" t="s">
        <v>685</v>
      </c>
      <c r="AE57" s="201">
        <v>0.6</v>
      </c>
      <c r="AF57" s="189" t="s">
        <v>686</v>
      </c>
      <c r="AG57" s="192"/>
      <c r="AH57" s="194"/>
      <c r="AI57" s="192"/>
      <c r="AJ57" s="194"/>
      <c r="AK57" s="192"/>
      <c r="AL57" s="194"/>
      <c r="AM57" s="40">
        <v>0.9</v>
      </c>
      <c r="AN57" s="18" t="s">
        <v>637</v>
      </c>
      <c r="AO57" s="126"/>
      <c r="AP57" s="126"/>
      <c r="AQ57" s="127"/>
      <c r="AR57" s="193" t="s">
        <v>687</v>
      </c>
      <c r="AS57" s="43" t="s">
        <v>324</v>
      </c>
    </row>
    <row r="58" spans="1:45" ht="255" x14ac:dyDescent="0.25">
      <c r="A58" s="120" t="s">
        <v>347</v>
      </c>
      <c r="B58" s="102"/>
      <c r="C58" s="73" t="s">
        <v>592</v>
      </c>
      <c r="D58" s="195"/>
      <c r="E58" s="14" t="s">
        <v>660</v>
      </c>
      <c r="F58" s="103" t="s">
        <v>688</v>
      </c>
      <c r="G58" s="14" t="s">
        <v>689</v>
      </c>
      <c r="H58" s="14" t="s">
        <v>690</v>
      </c>
      <c r="I58" s="189" t="s">
        <v>66</v>
      </c>
      <c r="J58" s="189" t="s">
        <v>678</v>
      </c>
      <c r="K58" s="189" t="s">
        <v>424</v>
      </c>
      <c r="L58" s="189" t="s">
        <v>599</v>
      </c>
      <c r="M58" s="18" t="s">
        <v>536</v>
      </c>
      <c r="N58" s="18" t="s">
        <v>536</v>
      </c>
      <c r="O58" s="107">
        <v>0</v>
      </c>
      <c r="P58" s="57" t="s">
        <v>691</v>
      </c>
      <c r="Q58" s="107">
        <v>0</v>
      </c>
      <c r="R58" s="57" t="s">
        <v>691</v>
      </c>
      <c r="S58" s="107">
        <v>0</v>
      </c>
      <c r="T58" s="57" t="s">
        <v>691</v>
      </c>
      <c r="U58" s="188">
        <v>0</v>
      </c>
      <c r="V58" s="27" t="s">
        <v>691</v>
      </c>
      <c r="W58" s="188">
        <v>0</v>
      </c>
      <c r="X58" s="27" t="s">
        <v>692</v>
      </c>
      <c r="Y58" s="200">
        <f>1/4*100%</f>
        <v>0.25</v>
      </c>
      <c r="Z58" s="27" t="s">
        <v>693</v>
      </c>
      <c r="AA58" s="187">
        <v>0.3</v>
      </c>
      <c r="AB58" s="189" t="s">
        <v>694</v>
      </c>
      <c r="AC58" s="187">
        <v>0.5</v>
      </c>
      <c r="AD58" s="189" t="s">
        <v>695</v>
      </c>
      <c r="AE58" s="187">
        <v>0.5</v>
      </c>
      <c r="AF58" s="189" t="s">
        <v>696</v>
      </c>
      <c r="AG58" s="34"/>
      <c r="AH58" s="194"/>
      <c r="AI58" s="34"/>
      <c r="AJ58" s="194"/>
      <c r="AK58" s="34"/>
      <c r="AL58" s="194"/>
      <c r="AM58" s="18" t="s">
        <v>650</v>
      </c>
      <c r="AN58" s="18" t="s">
        <v>637</v>
      </c>
      <c r="AO58" s="126"/>
      <c r="AP58" s="126"/>
      <c r="AQ58" s="126"/>
      <c r="AR58" s="193" t="s">
        <v>149</v>
      </c>
      <c r="AS58" s="18" t="s">
        <v>537</v>
      </c>
    </row>
    <row r="59" spans="1:45" ht="180" x14ac:dyDescent="0.25">
      <c r="A59" s="202" t="s">
        <v>347</v>
      </c>
      <c r="B59" s="12"/>
      <c r="C59" s="203" t="s">
        <v>697</v>
      </c>
      <c r="D59" s="195"/>
      <c r="E59" s="131" t="s">
        <v>698</v>
      </c>
      <c r="F59" s="103" t="s">
        <v>699</v>
      </c>
      <c r="G59" s="16" t="s">
        <v>700</v>
      </c>
      <c r="H59" s="16" t="s">
        <v>701</v>
      </c>
      <c r="I59" s="17" t="s">
        <v>46</v>
      </c>
      <c r="J59" s="17" t="s">
        <v>702</v>
      </c>
      <c r="K59" s="17" t="s">
        <v>424</v>
      </c>
      <c r="L59" s="143" t="s">
        <v>703</v>
      </c>
      <c r="M59" s="18" t="s">
        <v>468</v>
      </c>
      <c r="N59" s="18" t="s">
        <v>468</v>
      </c>
      <c r="O59" s="204">
        <v>2.1600000000000001E-2</v>
      </c>
      <c r="P59" s="47" t="s">
        <v>704</v>
      </c>
      <c r="Q59" s="187">
        <f>92740429/2366626819</f>
        <v>3.9186756549639185E-2</v>
      </c>
      <c r="R59" s="47" t="s">
        <v>705</v>
      </c>
      <c r="S59" s="205">
        <f>109049910/2234588239</f>
        <v>4.8800896781234691E-2</v>
      </c>
      <c r="T59" s="47" t="s">
        <v>706</v>
      </c>
      <c r="U59" s="205">
        <f>124564123/3107636255</f>
        <v>4.0083237798369684E-2</v>
      </c>
      <c r="V59" s="17" t="s">
        <v>707</v>
      </c>
      <c r="W59" s="205">
        <f>103225334/2852488331</f>
        <v>3.6187819903828383E-2</v>
      </c>
      <c r="X59" s="23" t="s">
        <v>708</v>
      </c>
      <c r="Y59" s="205">
        <f>108785395/3203689268</f>
        <v>3.3956287860561638E-2</v>
      </c>
      <c r="Z59" s="23" t="s">
        <v>709</v>
      </c>
      <c r="AA59" s="84">
        <f>130280815/2931793114</f>
        <v>4.4437247081957641E-2</v>
      </c>
      <c r="AB59" s="23" t="s">
        <v>710</v>
      </c>
      <c r="AC59" s="84">
        <f>115183044/3078861278</f>
        <v>3.741092358497615E-2</v>
      </c>
      <c r="AD59" s="23" t="s">
        <v>711</v>
      </c>
      <c r="AE59" s="84">
        <f>98901758/4589139558</f>
        <v>2.1551263967902193E-2</v>
      </c>
      <c r="AF59" s="23" t="s">
        <v>712</v>
      </c>
      <c r="AG59" s="34"/>
      <c r="AH59" s="194"/>
      <c r="AI59" s="34"/>
      <c r="AJ59" s="194"/>
      <c r="AK59" s="34"/>
      <c r="AL59" s="194"/>
      <c r="AM59" s="18"/>
      <c r="AN59" s="18"/>
      <c r="AO59" s="206"/>
      <c r="AP59" s="206"/>
      <c r="AQ59" s="207"/>
      <c r="AR59" s="50" t="s">
        <v>367</v>
      </c>
      <c r="AS59" s="43" t="str">
        <f>+[1]Hoja1!$AG$9</f>
        <v>RESULTADOS FAVORABLES</v>
      </c>
    </row>
    <row r="60" spans="1:45" ht="409.5" x14ac:dyDescent="0.25">
      <c r="A60" s="202" t="s">
        <v>347</v>
      </c>
      <c r="B60" s="12"/>
      <c r="C60" s="203" t="s">
        <v>697</v>
      </c>
      <c r="D60" s="14"/>
      <c r="E60" s="131" t="s">
        <v>698</v>
      </c>
      <c r="F60" s="103" t="s">
        <v>713</v>
      </c>
      <c r="G60" s="39" t="s">
        <v>714</v>
      </c>
      <c r="H60" s="146" t="s">
        <v>715</v>
      </c>
      <c r="I60" s="143" t="s">
        <v>66</v>
      </c>
      <c r="J60" s="148" t="s">
        <v>716</v>
      </c>
      <c r="K60" s="17" t="s">
        <v>48</v>
      </c>
      <c r="L60" s="143" t="s">
        <v>703</v>
      </c>
      <c r="M60" s="18" t="s">
        <v>717</v>
      </c>
      <c r="N60" s="18" t="s">
        <v>717</v>
      </c>
      <c r="O60" s="198">
        <f>(9/9)</f>
        <v>1</v>
      </c>
      <c r="P60" s="146" t="s">
        <v>718</v>
      </c>
      <c r="Q60" s="190">
        <f>(18/18)</f>
        <v>1</v>
      </c>
      <c r="R60" s="146" t="s">
        <v>719</v>
      </c>
      <c r="S60" s="190">
        <f>(33/33)</f>
        <v>1</v>
      </c>
      <c r="T60" s="146" t="s">
        <v>720</v>
      </c>
      <c r="U60" s="208">
        <f>(22/22)</f>
        <v>1</v>
      </c>
      <c r="V60" s="146" t="s">
        <v>721</v>
      </c>
      <c r="W60" s="208">
        <f>(14/14)</f>
        <v>1</v>
      </c>
      <c r="X60" s="148" t="s">
        <v>722</v>
      </c>
      <c r="Y60" s="208">
        <f>(23/23)</f>
        <v>1</v>
      </c>
      <c r="Z60" s="148" t="s">
        <v>723</v>
      </c>
      <c r="AA60" s="208">
        <f>(3/3)</f>
        <v>1</v>
      </c>
      <c r="AB60" s="148" t="s">
        <v>724</v>
      </c>
      <c r="AC60" s="208">
        <f>(13/13)</f>
        <v>1</v>
      </c>
      <c r="AD60" s="148" t="s">
        <v>725</v>
      </c>
      <c r="AE60" s="209">
        <f>(7/7)</f>
        <v>1</v>
      </c>
      <c r="AF60" s="148" t="s">
        <v>726</v>
      </c>
      <c r="AG60" s="209"/>
      <c r="AH60" s="210"/>
      <c r="AI60" s="208"/>
      <c r="AJ60" s="210"/>
      <c r="AK60" s="208"/>
      <c r="AL60" s="210"/>
      <c r="AM60" s="201">
        <v>0</v>
      </c>
      <c r="AN60" s="201">
        <v>1</v>
      </c>
      <c r="AO60" s="126"/>
      <c r="AP60" s="126"/>
      <c r="AQ60" s="175"/>
      <c r="AR60" s="42" t="s">
        <v>727</v>
      </c>
      <c r="AS60" s="43" t="str">
        <f>IF($AE60&gt;=25%,"RESULTADOS FAVORABLES",IF($AE60&lt;12.5%,"ACCIÓN CORRECTIVA",IF($AE60&lt;24%,"OPORTUNIDAD DE MEJORA")))</f>
        <v>RESULTADOS FAVORABLES</v>
      </c>
    </row>
    <row r="61" spans="1:45" ht="120" x14ac:dyDescent="0.25">
      <c r="A61" s="405" t="s">
        <v>347</v>
      </c>
      <c r="B61" s="407"/>
      <c r="C61" s="409" t="s">
        <v>697</v>
      </c>
      <c r="D61" s="411" t="s">
        <v>728</v>
      </c>
      <c r="E61" s="432" t="s">
        <v>729</v>
      </c>
      <c r="F61" s="413" t="s">
        <v>730</v>
      </c>
      <c r="G61" s="415" t="s">
        <v>731</v>
      </c>
      <c r="H61" s="417" t="s">
        <v>732</v>
      </c>
      <c r="I61" s="419" t="s">
        <v>66</v>
      </c>
      <c r="J61" s="148" t="s">
        <v>733</v>
      </c>
      <c r="K61" s="421" t="s">
        <v>48</v>
      </c>
      <c r="L61" s="419" t="s">
        <v>703</v>
      </c>
      <c r="M61" s="430" t="s">
        <v>357</v>
      </c>
      <c r="N61" s="430" t="s">
        <v>357</v>
      </c>
      <c r="O61" s="198">
        <f>(88/100)</f>
        <v>0.88</v>
      </c>
      <c r="P61" s="426" t="s">
        <v>734</v>
      </c>
      <c r="Q61" s="198">
        <f>(88/100)</f>
        <v>0.88</v>
      </c>
      <c r="R61" s="426" t="s">
        <v>735</v>
      </c>
      <c r="S61" s="198">
        <f>(88/100)</f>
        <v>0.88</v>
      </c>
      <c r="T61" s="426" t="s">
        <v>736</v>
      </c>
      <c r="U61" s="198">
        <f>(0/100)</f>
        <v>0</v>
      </c>
      <c r="V61" s="426" t="s">
        <v>737</v>
      </c>
      <c r="W61" s="198">
        <f>(0/100)</f>
        <v>0</v>
      </c>
      <c r="X61" s="428" t="s">
        <v>738</v>
      </c>
      <c r="Y61" s="198">
        <f>(0/100)</f>
        <v>0</v>
      </c>
      <c r="Z61" s="428" t="s">
        <v>739</v>
      </c>
      <c r="AA61" s="198">
        <f>(0/100)</f>
        <v>0</v>
      </c>
      <c r="AB61" s="428" t="s">
        <v>740</v>
      </c>
      <c r="AC61" s="198">
        <f>(0/100)</f>
        <v>0</v>
      </c>
      <c r="AD61" s="428" t="s">
        <v>741</v>
      </c>
      <c r="AE61" s="198">
        <f>(0/100)</f>
        <v>0</v>
      </c>
      <c r="AF61" s="428" t="s">
        <v>742</v>
      </c>
      <c r="AG61" s="209"/>
      <c r="AH61" s="210"/>
      <c r="AI61" s="208"/>
      <c r="AJ61" s="210"/>
      <c r="AK61" s="208"/>
      <c r="AL61" s="210"/>
      <c r="AM61" s="188" t="s">
        <v>60</v>
      </c>
      <c r="AN61" s="191" t="s">
        <v>743</v>
      </c>
      <c r="AO61" s="126"/>
      <c r="AP61" s="126"/>
      <c r="AQ61" s="127"/>
      <c r="AR61" s="42" t="s">
        <v>744</v>
      </c>
      <c r="AS61" s="43" t="str">
        <f>IF($AE61&lt;=2%,"RESULTADOS FAVORABLES",IF($AE61&gt;4%,"ACCIÓN CORRECTIVA",IF($AE61&gt;3%,"OPORTUNIDAD DE MEJORA")))</f>
        <v>RESULTADOS FAVORABLES</v>
      </c>
    </row>
    <row r="62" spans="1:45" ht="120" x14ac:dyDescent="0.25">
      <c r="A62" s="406"/>
      <c r="B62" s="408"/>
      <c r="C62" s="410"/>
      <c r="D62" s="412"/>
      <c r="E62" s="433"/>
      <c r="F62" s="414"/>
      <c r="G62" s="416"/>
      <c r="H62" s="418"/>
      <c r="I62" s="420"/>
      <c r="J62" s="143" t="s">
        <v>745</v>
      </c>
      <c r="K62" s="422"/>
      <c r="L62" s="420"/>
      <c r="M62" s="431"/>
      <c r="N62" s="431"/>
      <c r="O62" s="211">
        <f>(12/100)</f>
        <v>0.12</v>
      </c>
      <c r="P62" s="429"/>
      <c r="Q62" s="211">
        <f>(12/100)</f>
        <v>0.12</v>
      </c>
      <c r="R62" s="429"/>
      <c r="S62" s="211">
        <f>(12/100)</f>
        <v>0.12</v>
      </c>
      <c r="T62" s="427"/>
      <c r="U62" s="198">
        <f>(0/100)</f>
        <v>0</v>
      </c>
      <c r="V62" s="427"/>
      <c r="W62" s="198">
        <f>(0/100)</f>
        <v>0</v>
      </c>
      <c r="X62" s="429"/>
      <c r="Y62" s="198">
        <f>(0/100)</f>
        <v>0</v>
      </c>
      <c r="Z62" s="429"/>
      <c r="AA62" s="198">
        <f>(0/100)</f>
        <v>0</v>
      </c>
      <c r="AB62" s="429"/>
      <c r="AC62" s="198">
        <f>(0/100)</f>
        <v>0</v>
      </c>
      <c r="AD62" s="429"/>
      <c r="AE62" s="198">
        <f>(0/100)</f>
        <v>0</v>
      </c>
      <c r="AF62" s="429"/>
      <c r="AG62" s="208"/>
      <c r="AH62" s="210"/>
      <c r="AI62" s="208"/>
      <c r="AJ62" s="210"/>
      <c r="AK62" s="208"/>
      <c r="AL62" s="210"/>
      <c r="AM62" s="188" t="s">
        <v>60</v>
      </c>
      <c r="AN62" s="191" t="s">
        <v>743</v>
      </c>
      <c r="AO62" s="126"/>
      <c r="AP62" s="126"/>
      <c r="AQ62" s="127"/>
      <c r="AR62" s="42" t="s">
        <v>744</v>
      </c>
      <c r="AS62" s="43" t="str">
        <f>IF($AE62&lt;=2%,"RESULTADOS FAVORABLES",IF($AE62&gt;4%,"ACCIÓN CORRECTIVA",IF($AE62&gt;3%,"OPORTUNIDAD DE MEJORA")))</f>
        <v>RESULTADOS FAVORABLES</v>
      </c>
    </row>
    <row r="63" spans="1:45" ht="409.5" x14ac:dyDescent="0.25">
      <c r="A63" s="202" t="s">
        <v>347</v>
      </c>
      <c r="B63" s="12"/>
      <c r="C63" s="203" t="s">
        <v>697</v>
      </c>
      <c r="D63" s="14"/>
      <c r="E63" s="131" t="s">
        <v>729</v>
      </c>
      <c r="F63" s="103" t="s">
        <v>746</v>
      </c>
      <c r="G63" s="39" t="s">
        <v>747</v>
      </c>
      <c r="H63" s="146" t="s">
        <v>748</v>
      </c>
      <c r="I63" s="123" t="s">
        <v>46</v>
      </c>
      <c r="J63" s="143" t="s">
        <v>749</v>
      </c>
      <c r="K63" s="143" t="s">
        <v>48</v>
      </c>
      <c r="L63" s="143" t="s">
        <v>703</v>
      </c>
      <c r="M63" s="18" t="s">
        <v>717</v>
      </c>
      <c r="N63" s="18" t="s">
        <v>717</v>
      </c>
      <c r="O63" s="212">
        <f>(0)*100</f>
        <v>0</v>
      </c>
      <c r="P63" s="146" t="s">
        <v>750</v>
      </c>
      <c r="Q63" s="190">
        <f>((15-15)+15/15)</f>
        <v>1</v>
      </c>
      <c r="R63" s="213" t="s">
        <v>751</v>
      </c>
      <c r="S63" s="190">
        <f>((15-15)+15/15)</f>
        <v>1</v>
      </c>
      <c r="T63" s="213" t="s">
        <v>752</v>
      </c>
      <c r="U63" s="190">
        <f>((15-15)+15/15)</f>
        <v>1</v>
      </c>
      <c r="V63" s="214" t="s">
        <v>753</v>
      </c>
      <c r="W63" s="190">
        <f>((15-15)+15/15)</f>
        <v>1</v>
      </c>
      <c r="X63" s="215" t="s">
        <v>754</v>
      </c>
      <c r="Y63" s="190">
        <f>((15-15)+15/15)</f>
        <v>1</v>
      </c>
      <c r="Z63" s="215" t="s">
        <v>755</v>
      </c>
      <c r="AA63" s="190">
        <f>((15-15)+15/15)</f>
        <v>1</v>
      </c>
      <c r="AB63" s="215" t="s">
        <v>756</v>
      </c>
      <c r="AC63" s="212">
        <f>(0)*100</f>
        <v>0</v>
      </c>
      <c r="AD63" s="148" t="s">
        <v>757</v>
      </c>
      <c r="AE63" s="190">
        <f>((15-15)+15/15)</f>
        <v>1</v>
      </c>
      <c r="AF63" s="215" t="s">
        <v>758</v>
      </c>
      <c r="AG63" s="209"/>
      <c r="AH63" s="210"/>
      <c r="AI63" s="208"/>
      <c r="AJ63" s="210"/>
      <c r="AK63" s="208"/>
      <c r="AL63" s="210"/>
      <c r="AM63" s="201">
        <v>0</v>
      </c>
      <c r="AN63" s="188" t="s">
        <v>759</v>
      </c>
      <c r="AO63" s="126"/>
      <c r="AP63" s="126"/>
      <c r="AQ63" s="127"/>
      <c r="AR63" s="42" t="s">
        <v>760</v>
      </c>
      <c r="AS63" s="43" t="str">
        <f>IF($AE63&gt;=25%,"RESULTADOS FAVORABLES",IF($AE63&lt;12.5%,"ACCIÓN CORRECTIVA",IF($AE63&lt;24%,"OPORTUNIDAD DE MEJORA")))</f>
        <v>RESULTADOS FAVORABLES</v>
      </c>
    </row>
    <row r="64" spans="1:45" ht="225" x14ac:dyDescent="0.25">
      <c r="A64" s="202" t="s">
        <v>347</v>
      </c>
      <c r="B64" s="12"/>
      <c r="C64" s="203" t="s">
        <v>697</v>
      </c>
      <c r="D64" s="14"/>
      <c r="E64" s="131" t="s">
        <v>761</v>
      </c>
      <c r="F64" s="103" t="s">
        <v>762</v>
      </c>
      <c r="G64" s="39" t="s">
        <v>763</v>
      </c>
      <c r="H64" s="146" t="s">
        <v>764</v>
      </c>
      <c r="I64" s="143" t="s">
        <v>66</v>
      </c>
      <c r="J64" s="143" t="s">
        <v>765</v>
      </c>
      <c r="K64" s="143" t="s">
        <v>48</v>
      </c>
      <c r="L64" s="143" t="s">
        <v>703</v>
      </c>
      <c r="M64" s="18" t="s">
        <v>500</v>
      </c>
      <c r="N64" s="18" t="s">
        <v>500</v>
      </c>
      <c r="O64" s="216">
        <f>(0)*100</f>
        <v>0</v>
      </c>
      <c r="P64" s="217" t="s">
        <v>766</v>
      </c>
      <c r="Q64" s="216">
        <f>(0)*100</f>
        <v>0</v>
      </c>
      <c r="R64" s="217" t="s">
        <v>767</v>
      </c>
      <c r="S64" s="216">
        <f>(0)*100</f>
        <v>0</v>
      </c>
      <c r="T64" s="218" t="s">
        <v>768</v>
      </c>
      <c r="U64" s="208">
        <f>(1/1)</f>
        <v>1</v>
      </c>
      <c r="V64" s="219" t="s">
        <v>769</v>
      </c>
      <c r="W64" s="216">
        <f>(0)*100</f>
        <v>0</v>
      </c>
      <c r="X64" s="217" t="s">
        <v>770</v>
      </c>
      <c r="Y64" s="216">
        <f>(0)*100</f>
        <v>0</v>
      </c>
      <c r="Z64" s="217" t="s">
        <v>771</v>
      </c>
      <c r="AA64" s="216" t="s">
        <v>149</v>
      </c>
      <c r="AB64" s="42" t="s">
        <v>772</v>
      </c>
      <c r="AC64" s="216" t="s">
        <v>149</v>
      </c>
      <c r="AD64" s="42" t="s">
        <v>772</v>
      </c>
      <c r="AE64" s="216" t="s">
        <v>149</v>
      </c>
      <c r="AF64" s="42" t="s">
        <v>772</v>
      </c>
      <c r="AG64" s="208"/>
      <c r="AH64" s="220"/>
      <c r="AI64" s="208"/>
      <c r="AJ64" s="220"/>
      <c r="AK64" s="208"/>
      <c r="AL64" s="220"/>
      <c r="AM64" s="188" t="s">
        <v>60</v>
      </c>
      <c r="AN64" s="191" t="s">
        <v>773</v>
      </c>
      <c r="AO64" s="126"/>
      <c r="AP64" s="126"/>
      <c r="AQ64" s="126"/>
      <c r="AR64" s="42"/>
      <c r="AS64" s="50" t="s">
        <v>503</v>
      </c>
    </row>
    <row r="65" spans="1:45" ht="360" x14ac:dyDescent="0.25">
      <c r="A65" s="202" t="s">
        <v>347</v>
      </c>
      <c r="B65" s="12"/>
      <c r="C65" s="203" t="s">
        <v>697</v>
      </c>
      <c r="D65" s="14" t="s">
        <v>774</v>
      </c>
      <c r="E65" s="131" t="s">
        <v>761</v>
      </c>
      <c r="F65" s="103" t="s">
        <v>775</v>
      </c>
      <c r="G65" s="39" t="s">
        <v>776</v>
      </c>
      <c r="H65" s="146" t="s">
        <v>777</v>
      </c>
      <c r="I65" s="143" t="s">
        <v>66</v>
      </c>
      <c r="J65" s="143" t="s">
        <v>778</v>
      </c>
      <c r="K65" s="143" t="s">
        <v>48</v>
      </c>
      <c r="L65" s="143" t="s">
        <v>779</v>
      </c>
      <c r="M65" s="18" t="s">
        <v>500</v>
      </c>
      <c r="N65" s="18" t="s">
        <v>500</v>
      </c>
      <c r="O65" s="198">
        <f>(1/1)</f>
        <v>1</v>
      </c>
      <c r="P65" s="215" t="s">
        <v>780</v>
      </c>
      <c r="Q65" s="190">
        <f>(3/3)</f>
        <v>1</v>
      </c>
      <c r="R65" s="221" t="s">
        <v>781</v>
      </c>
      <c r="S65" s="190">
        <f>(1/1)</f>
        <v>1</v>
      </c>
      <c r="T65" s="222" t="s">
        <v>782</v>
      </c>
      <c r="U65" s="216">
        <f>(0)*100</f>
        <v>0</v>
      </c>
      <c r="V65" s="223" t="s">
        <v>783</v>
      </c>
      <c r="W65" s="216">
        <f>(0)*100</f>
        <v>0</v>
      </c>
      <c r="X65" s="148" t="s">
        <v>784</v>
      </c>
      <c r="Y65" s="190">
        <f>(1/1)</f>
        <v>1</v>
      </c>
      <c r="Z65" s="215" t="s">
        <v>785</v>
      </c>
      <c r="AA65" s="216" t="s">
        <v>149</v>
      </c>
      <c r="AB65" s="42" t="s">
        <v>772</v>
      </c>
      <c r="AC65" s="216" t="s">
        <v>149</v>
      </c>
      <c r="AD65" s="42" t="s">
        <v>772</v>
      </c>
      <c r="AE65" s="216" t="s">
        <v>149</v>
      </c>
      <c r="AF65" s="42" t="s">
        <v>772</v>
      </c>
      <c r="AG65" s="208"/>
      <c r="AH65" s="16"/>
      <c r="AI65" s="208"/>
      <c r="AJ65" s="16"/>
      <c r="AK65" s="208"/>
      <c r="AL65" s="16"/>
      <c r="AM65" s="188" t="s">
        <v>60</v>
      </c>
      <c r="AN65" s="201">
        <v>1</v>
      </c>
      <c r="AO65" s="126"/>
      <c r="AP65" s="126"/>
      <c r="AQ65" s="126"/>
      <c r="AR65" s="42"/>
      <c r="AS65" s="50" t="s">
        <v>503</v>
      </c>
    </row>
    <row r="66" spans="1:45" ht="409.5" x14ac:dyDescent="0.25">
      <c r="A66" s="202" t="s">
        <v>347</v>
      </c>
      <c r="B66" s="53" t="s">
        <v>786</v>
      </c>
      <c r="C66" s="13" t="s">
        <v>787</v>
      </c>
      <c r="D66" s="224" t="s">
        <v>788</v>
      </c>
      <c r="E66" s="14" t="s">
        <v>789</v>
      </c>
      <c r="F66" s="103" t="s">
        <v>790</v>
      </c>
      <c r="G66" s="30" t="s">
        <v>791</v>
      </c>
      <c r="H66" s="16" t="s">
        <v>792</v>
      </c>
      <c r="I66" s="17" t="s">
        <v>66</v>
      </c>
      <c r="J66" s="17" t="s">
        <v>793</v>
      </c>
      <c r="K66" s="17" t="s">
        <v>48</v>
      </c>
      <c r="L66" s="143" t="s">
        <v>794</v>
      </c>
      <c r="M66" s="18" t="s">
        <v>795</v>
      </c>
      <c r="N66" s="18" t="s">
        <v>468</v>
      </c>
      <c r="O66" s="201">
        <v>1</v>
      </c>
      <c r="P66" s="17" t="s">
        <v>796</v>
      </c>
      <c r="Q66" s="201">
        <v>1</v>
      </c>
      <c r="R66" s="17" t="s">
        <v>797</v>
      </c>
      <c r="S66" s="201">
        <v>0.93</v>
      </c>
      <c r="T66" s="16" t="s">
        <v>798</v>
      </c>
      <c r="U66" s="225">
        <v>1</v>
      </c>
      <c r="V66" s="16" t="s">
        <v>799</v>
      </c>
      <c r="W66" s="200">
        <v>0.93</v>
      </c>
      <c r="X66" s="17" t="s">
        <v>800</v>
      </c>
      <c r="Y66" s="200">
        <v>1</v>
      </c>
      <c r="Z66" s="17" t="s">
        <v>801</v>
      </c>
      <c r="AA66" s="200">
        <v>1</v>
      </c>
      <c r="AB66" s="16" t="s">
        <v>802</v>
      </c>
      <c r="AC66" s="200">
        <v>0.92</v>
      </c>
      <c r="AD66" s="16" t="s">
        <v>803</v>
      </c>
      <c r="AE66" s="200">
        <v>0.92</v>
      </c>
      <c r="AF66" s="16" t="s">
        <v>804</v>
      </c>
      <c r="AG66" s="200"/>
      <c r="AH66" s="16"/>
      <c r="AI66" s="200"/>
      <c r="AJ66" s="16"/>
      <c r="AK66" s="200"/>
      <c r="AL66" s="16"/>
      <c r="AM66" s="18" t="s">
        <v>528</v>
      </c>
      <c r="AN66" s="18" t="s">
        <v>805</v>
      </c>
      <c r="AO66" s="126"/>
      <c r="AP66" s="126"/>
      <c r="AQ66" s="127"/>
      <c r="AR66" s="42" t="s">
        <v>806</v>
      </c>
      <c r="AS66" s="43" t="str">
        <f>IF($AE66&gt;=80%,"RESULTADOS FAVORABLES",IF($AE66&lt;70%,"ACCIÓN CORRECTIVA",IF($AE66&lt;75%,"OPORTUNIDAD DE MEJORA")))</f>
        <v>RESULTADOS FAVORABLES</v>
      </c>
    </row>
    <row r="67" spans="1:45" ht="270" x14ac:dyDescent="0.25">
      <c r="A67" s="202" t="s">
        <v>347</v>
      </c>
      <c r="B67" s="12"/>
      <c r="C67" s="13" t="s">
        <v>787</v>
      </c>
      <c r="D67" s="14"/>
      <c r="E67" s="14" t="s">
        <v>789</v>
      </c>
      <c r="F67" s="103" t="s">
        <v>807</v>
      </c>
      <c r="G67" s="30" t="s">
        <v>808</v>
      </c>
      <c r="H67" s="16" t="s">
        <v>809</v>
      </c>
      <c r="I67" s="17" t="s">
        <v>66</v>
      </c>
      <c r="J67" s="17" t="s">
        <v>810</v>
      </c>
      <c r="K67" s="17" t="s">
        <v>48</v>
      </c>
      <c r="L67" s="143" t="s">
        <v>794</v>
      </c>
      <c r="M67" s="18" t="s">
        <v>468</v>
      </c>
      <c r="N67" s="18" t="s">
        <v>468</v>
      </c>
      <c r="O67" s="201">
        <f>6/9</f>
        <v>0.66666666666666663</v>
      </c>
      <c r="P67" s="17" t="s">
        <v>811</v>
      </c>
      <c r="Q67" s="201">
        <f>7/9</f>
        <v>0.77777777777777779</v>
      </c>
      <c r="R67" s="17" t="s">
        <v>812</v>
      </c>
      <c r="S67" s="201">
        <f>7/9</f>
        <v>0.77777777777777779</v>
      </c>
      <c r="T67" s="16" t="s">
        <v>813</v>
      </c>
      <c r="U67" s="200">
        <f>7/9</f>
        <v>0.77777777777777779</v>
      </c>
      <c r="V67" s="16" t="s">
        <v>814</v>
      </c>
      <c r="W67" s="201">
        <f>8/10</f>
        <v>0.8</v>
      </c>
      <c r="X67" s="17" t="s">
        <v>815</v>
      </c>
      <c r="Y67" s="201">
        <f>8/10</f>
        <v>0.8</v>
      </c>
      <c r="Z67" s="17" t="s">
        <v>816</v>
      </c>
      <c r="AA67" s="201">
        <f>7/9</f>
        <v>0.77777777777777779</v>
      </c>
      <c r="AB67" s="16" t="s">
        <v>817</v>
      </c>
      <c r="AC67" s="201">
        <f>7/10</f>
        <v>0.7</v>
      </c>
      <c r="AD67" s="16" t="s">
        <v>818</v>
      </c>
      <c r="AE67" s="201">
        <f>7/10</f>
        <v>0.7</v>
      </c>
      <c r="AF67" s="16" t="s">
        <v>819</v>
      </c>
      <c r="AG67" s="201"/>
      <c r="AH67" s="16"/>
      <c r="AI67" s="201"/>
      <c r="AJ67" s="226"/>
      <c r="AK67" s="201"/>
      <c r="AL67" s="226"/>
      <c r="AM67" s="40">
        <v>0</v>
      </c>
      <c r="AN67" s="40" t="s">
        <v>820</v>
      </c>
      <c r="AO67" s="227"/>
      <c r="AP67" s="126"/>
      <c r="AQ67" s="127"/>
      <c r="AR67" s="42" t="s">
        <v>821</v>
      </c>
      <c r="AS67" s="43" t="str">
        <f>IF($AE67&gt;=70%,"RESULTADOS FAVORABLES",IF($AE67&lt;60%,"ACCIÓN CORRECTIVA",IF($AE67&lt;65%,"OPORTUNIDAD DE MEJORA")))</f>
        <v>RESULTADOS FAVORABLES</v>
      </c>
    </row>
    <row r="68" spans="1:45" ht="255" x14ac:dyDescent="0.25">
      <c r="A68" s="202" t="s">
        <v>347</v>
      </c>
      <c r="B68" s="12"/>
      <c r="C68" s="13" t="s">
        <v>787</v>
      </c>
      <c r="D68" s="14"/>
      <c r="E68" s="14" t="s">
        <v>789</v>
      </c>
      <c r="F68" s="103" t="s">
        <v>822</v>
      </c>
      <c r="G68" s="30" t="s">
        <v>823</v>
      </c>
      <c r="H68" s="16" t="s">
        <v>824</v>
      </c>
      <c r="I68" s="17" t="s">
        <v>66</v>
      </c>
      <c r="J68" s="17" t="s">
        <v>825</v>
      </c>
      <c r="K68" s="17" t="s">
        <v>48</v>
      </c>
      <c r="L68" s="143" t="s">
        <v>794</v>
      </c>
      <c r="M68" s="18" t="s">
        <v>468</v>
      </c>
      <c r="N68" s="18" t="s">
        <v>84</v>
      </c>
      <c r="O68" s="201">
        <v>0.27779999999999999</v>
      </c>
      <c r="P68" s="16" t="s">
        <v>826</v>
      </c>
      <c r="Q68" s="201">
        <v>0.27779999999999999</v>
      </c>
      <c r="R68" s="228" t="s">
        <v>827</v>
      </c>
      <c r="S68" s="201">
        <v>0.27779999999999999</v>
      </c>
      <c r="T68" s="228" t="s">
        <v>828</v>
      </c>
      <c r="U68" s="192">
        <f>(45/162)</f>
        <v>0.27777777777777779</v>
      </c>
      <c r="V68" s="229" t="s">
        <v>829</v>
      </c>
      <c r="W68" s="192">
        <f>(73/162)</f>
        <v>0.45061728395061729</v>
      </c>
      <c r="X68" s="230" t="s">
        <v>830</v>
      </c>
      <c r="Y68" s="192">
        <f>(73/162)</f>
        <v>0.45061728395061729</v>
      </c>
      <c r="Z68" s="231" t="s">
        <v>831</v>
      </c>
      <c r="AA68" s="192">
        <f>(73/162)</f>
        <v>0.45061728395061729</v>
      </c>
      <c r="AB68" s="231" t="s">
        <v>831</v>
      </c>
      <c r="AC68" s="192">
        <f>(48/100)</f>
        <v>0.48</v>
      </c>
      <c r="AD68" s="231" t="s">
        <v>832</v>
      </c>
      <c r="AE68" s="192">
        <f>(48/100)</f>
        <v>0.48</v>
      </c>
      <c r="AF68" s="217" t="s">
        <v>832</v>
      </c>
      <c r="AG68" s="192"/>
      <c r="AH68" s="14"/>
      <c r="AI68" s="192"/>
      <c r="AJ68" s="14"/>
      <c r="AK68" s="192"/>
      <c r="AL68" s="14"/>
      <c r="AM68" s="48">
        <v>0.27779999999999999</v>
      </c>
      <c r="AN68" s="40">
        <v>1</v>
      </c>
      <c r="AO68" s="232"/>
      <c r="AP68" s="232"/>
      <c r="AQ68" s="233"/>
      <c r="AR68" s="42" t="s">
        <v>833</v>
      </c>
      <c r="AS68" s="43" t="str">
        <f>IF($AE68&gt;=25%,"RESULTADOS FAVORABLES",IF($AE68&lt;12.5%,"ACCIÓN CORRECTIVA",IF($AE68&lt;24%,"OPORTUNIDAD DE MEJORA")))</f>
        <v>RESULTADOS FAVORABLES</v>
      </c>
    </row>
    <row r="69" spans="1:45" ht="409.5" x14ac:dyDescent="0.25">
      <c r="A69" s="202" t="s">
        <v>347</v>
      </c>
      <c r="B69" s="234"/>
      <c r="C69" s="235" t="s">
        <v>787</v>
      </c>
      <c r="D69" s="64"/>
      <c r="E69" s="64" t="s">
        <v>789</v>
      </c>
      <c r="F69" s="236" t="s">
        <v>834</v>
      </c>
      <c r="G69" s="237" t="s">
        <v>835</v>
      </c>
      <c r="H69" s="67" t="s">
        <v>836</v>
      </c>
      <c r="I69" s="69" t="s">
        <v>66</v>
      </c>
      <c r="J69" s="238" t="s">
        <v>837</v>
      </c>
      <c r="K69" s="17" t="s">
        <v>48</v>
      </c>
      <c r="L69" s="143" t="s">
        <v>794</v>
      </c>
      <c r="M69" s="18" t="s">
        <v>500</v>
      </c>
      <c r="N69" s="18" t="s">
        <v>500</v>
      </c>
      <c r="O69" s="201" t="s">
        <v>149</v>
      </c>
      <c r="P69" s="32" t="s">
        <v>501</v>
      </c>
      <c r="Q69" s="201" t="s">
        <v>149</v>
      </c>
      <c r="R69" s="32" t="s">
        <v>501</v>
      </c>
      <c r="S69" s="201" t="s">
        <v>149</v>
      </c>
      <c r="T69" s="32" t="s">
        <v>501</v>
      </c>
      <c r="U69" s="201" t="s">
        <v>149</v>
      </c>
      <c r="V69" s="32" t="s">
        <v>501</v>
      </c>
      <c r="W69" s="201" t="s">
        <v>149</v>
      </c>
      <c r="X69" s="32" t="s">
        <v>501</v>
      </c>
      <c r="Y69" s="200">
        <f>(126/126)</f>
        <v>1</v>
      </c>
      <c r="Z69" s="191" t="s">
        <v>838</v>
      </c>
      <c r="AA69" s="201" t="s">
        <v>149</v>
      </c>
      <c r="AB69" s="32" t="s">
        <v>501</v>
      </c>
      <c r="AC69" s="201" t="s">
        <v>149</v>
      </c>
      <c r="AD69" s="32" t="s">
        <v>501</v>
      </c>
      <c r="AE69" s="201" t="s">
        <v>149</v>
      </c>
      <c r="AF69" s="32" t="s">
        <v>501</v>
      </c>
      <c r="AG69" s="192"/>
      <c r="AH69" s="14"/>
      <c r="AI69" s="192"/>
      <c r="AJ69" s="14"/>
      <c r="AK69" s="192"/>
      <c r="AL69" s="14"/>
      <c r="AM69" s="239">
        <v>0</v>
      </c>
      <c r="AN69" s="239">
        <v>1</v>
      </c>
      <c r="AO69" s="240"/>
      <c r="AP69" s="241"/>
      <c r="AQ69" s="241"/>
      <c r="AR69" s="42" t="s">
        <v>149</v>
      </c>
      <c r="AS69" s="42" t="s">
        <v>503</v>
      </c>
    </row>
    <row r="70" spans="1:45" ht="195.75" x14ac:dyDescent="0.25">
      <c r="A70" s="202" t="s">
        <v>347</v>
      </c>
      <c r="B70" s="53" t="s">
        <v>839</v>
      </c>
      <c r="C70" s="13" t="s">
        <v>840</v>
      </c>
      <c r="D70" s="14" t="s">
        <v>841</v>
      </c>
      <c r="E70" s="14" t="s">
        <v>842</v>
      </c>
      <c r="F70" s="103" t="s">
        <v>843</v>
      </c>
      <c r="G70" s="30" t="s">
        <v>844</v>
      </c>
      <c r="H70" s="30" t="s">
        <v>845</v>
      </c>
      <c r="I70" s="17" t="s">
        <v>846</v>
      </c>
      <c r="J70" s="17" t="s">
        <v>847</v>
      </c>
      <c r="K70" s="17" t="s">
        <v>48</v>
      </c>
      <c r="L70" s="143" t="s">
        <v>254</v>
      </c>
      <c r="M70" s="18" t="s">
        <v>500</v>
      </c>
      <c r="N70" s="18" t="s">
        <v>500</v>
      </c>
      <c r="O70" s="200" t="s">
        <v>149</v>
      </c>
      <c r="P70" s="32" t="s">
        <v>501</v>
      </c>
      <c r="Q70" s="200" t="s">
        <v>149</v>
      </c>
      <c r="R70" s="32" t="s">
        <v>501</v>
      </c>
      <c r="S70" s="200" t="s">
        <v>149</v>
      </c>
      <c r="T70" s="32" t="s">
        <v>501</v>
      </c>
      <c r="U70" s="200" t="s">
        <v>149</v>
      </c>
      <c r="V70" s="32" t="s">
        <v>501</v>
      </c>
      <c r="W70" s="200" t="s">
        <v>149</v>
      </c>
      <c r="X70" s="32" t="s">
        <v>501</v>
      </c>
      <c r="Y70" s="200">
        <f>(30/30)</f>
        <v>1</v>
      </c>
      <c r="Z70" s="242" t="s">
        <v>848</v>
      </c>
      <c r="AA70" s="200" t="s">
        <v>149</v>
      </c>
      <c r="AB70" s="32" t="s">
        <v>501</v>
      </c>
      <c r="AC70" s="200" t="s">
        <v>149</v>
      </c>
      <c r="AD70" s="32" t="s">
        <v>501</v>
      </c>
      <c r="AE70" s="200" t="s">
        <v>149</v>
      </c>
      <c r="AF70" s="32" t="s">
        <v>501</v>
      </c>
      <c r="AG70" s="243"/>
      <c r="AH70" s="244"/>
      <c r="AI70" s="243"/>
      <c r="AJ70" s="244"/>
      <c r="AK70" s="243"/>
      <c r="AL70" s="244"/>
      <c r="AM70" s="40">
        <v>0</v>
      </c>
      <c r="AN70" s="40" t="s">
        <v>849</v>
      </c>
      <c r="AO70" s="126"/>
      <c r="AP70" s="126"/>
      <c r="AQ70" s="241"/>
      <c r="AR70" s="42" t="s">
        <v>149</v>
      </c>
      <c r="AS70" s="42" t="s">
        <v>503</v>
      </c>
    </row>
    <row r="71" spans="1:45" ht="90.75" x14ac:dyDescent="0.25">
      <c r="A71" s="202" t="s">
        <v>347</v>
      </c>
      <c r="B71" s="53"/>
      <c r="C71" s="13" t="s">
        <v>840</v>
      </c>
      <c r="D71" s="14"/>
      <c r="E71" s="14" t="s">
        <v>842</v>
      </c>
      <c r="F71" s="103" t="s">
        <v>850</v>
      </c>
      <c r="G71" s="30" t="s">
        <v>851</v>
      </c>
      <c r="H71" s="30" t="s">
        <v>852</v>
      </c>
      <c r="I71" s="17" t="s">
        <v>846</v>
      </c>
      <c r="J71" s="17" t="s">
        <v>853</v>
      </c>
      <c r="K71" s="17" t="s">
        <v>48</v>
      </c>
      <c r="L71" s="143" t="s">
        <v>254</v>
      </c>
      <c r="M71" s="18" t="s">
        <v>500</v>
      </c>
      <c r="N71" s="18" t="s">
        <v>500</v>
      </c>
      <c r="O71" s="200" t="s">
        <v>149</v>
      </c>
      <c r="P71" s="32" t="s">
        <v>501</v>
      </c>
      <c r="Q71" s="200" t="s">
        <v>149</v>
      </c>
      <c r="R71" s="32" t="s">
        <v>501</v>
      </c>
      <c r="S71" s="200" t="s">
        <v>149</v>
      </c>
      <c r="T71" s="32" t="s">
        <v>501</v>
      </c>
      <c r="U71" s="200" t="s">
        <v>149</v>
      </c>
      <c r="V71" s="32" t="s">
        <v>501</v>
      </c>
      <c r="W71" s="200" t="s">
        <v>149</v>
      </c>
      <c r="X71" s="32" t="s">
        <v>501</v>
      </c>
      <c r="Y71" s="200">
        <f>19/19</f>
        <v>1</v>
      </c>
      <c r="Z71" s="242" t="s">
        <v>854</v>
      </c>
      <c r="AA71" s="200" t="s">
        <v>149</v>
      </c>
      <c r="AB71" s="32" t="s">
        <v>501</v>
      </c>
      <c r="AC71" s="200" t="s">
        <v>149</v>
      </c>
      <c r="AD71" s="32" t="s">
        <v>501</v>
      </c>
      <c r="AE71" s="200" t="s">
        <v>149</v>
      </c>
      <c r="AF71" s="32" t="s">
        <v>501</v>
      </c>
      <c r="AG71" s="243"/>
      <c r="AH71" s="244"/>
      <c r="AI71" s="243"/>
      <c r="AJ71" s="244"/>
      <c r="AK71" s="243"/>
      <c r="AL71" s="244"/>
      <c r="AM71" s="40">
        <v>0</v>
      </c>
      <c r="AN71" s="40" t="s">
        <v>849</v>
      </c>
      <c r="AO71" s="126"/>
      <c r="AP71" s="126"/>
      <c r="AQ71" s="241"/>
      <c r="AR71" s="42" t="s">
        <v>149</v>
      </c>
      <c r="AS71" s="42" t="s">
        <v>503</v>
      </c>
    </row>
    <row r="72" spans="1:45" ht="150" x14ac:dyDescent="0.25">
      <c r="A72" s="202" t="s">
        <v>347</v>
      </c>
      <c r="B72" s="53"/>
      <c r="C72" s="13" t="s">
        <v>840</v>
      </c>
      <c r="D72" s="14"/>
      <c r="E72" s="14" t="s">
        <v>855</v>
      </c>
      <c r="F72" s="103" t="s">
        <v>856</v>
      </c>
      <c r="G72" s="30" t="s">
        <v>857</v>
      </c>
      <c r="H72" s="30" t="s">
        <v>858</v>
      </c>
      <c r="I72" s="17" t="s">
        <v>846</v>
      </c>
      <c r="J72" s="17" t="s">
        <v>859</v>
      </c>
      <c r="K72" s="17" t="s">
        <v>48</v>
      </c>
      <c r="L72" s="143" t="s">
        <v>254</v>
      </c>
      <c r="M72" s="18" t="s">
        <v>468</v>
      </c>
      <c r="N72" s="18" t="s">
        <v>468</v>
      </c>
      <c r="O72" s="201">
        <v>0.01</v>
      </c>
      <c r="P72" s="32" t="s">
        <v>860</v>
      </c>
      <c r="Q72" s="201">
        <v>0.01</v>
      </c>
      <c r="R72" s="32" t="s">
        <v>861</v>
      </c>
      <c r="S72" s="201">
        <v>0.01</v>
      </c>
      <c r="T72" s="36" t="s">
        <v>862</v>
      </c>
      <c r="U72" s="201">
        <v>-0.01</v>
      </c>
      <c r="V72" s="226" t="s">
        <v>863</v>
      </c>
      <c r="W72" s="192">
        <f>((495114/495520)-1)*100</f>
        <v>-8.1934129803040712E-2</v>
      </c>
      <c r="X72" s="242" t="s">
        <v>864</v>
      </c>
      <c r="Y72" s="192">
        <v>0</v>
      </c>
      <c r="Z72" s="103"/>
      <c r="AA72" s="245">
        <f>((421440/421051)-1)</f>
        <v>9.2387858002940249E-4</v>
      </c>
      <c r="AB72" s="191" t="s">
        <v>865</v>
      </c>
      <c r="AC72" s="245">
        <f>((421051/421563)-1)</f>
        <v>-1.2145278404414039E-3</v>
      </c>
      <c r="AD72" s="191" t="s">
        <v>866</v>
      </c>
      <c r="AE72" s="124">
        <f>((419708/420368)-1)</f>
        <v>-1.5700529060251878E-3</v>
      </c>
      <c r="AF72" s="191" t="s">
        <v>867</v>
      </c>
      <c r="AG72" s="243"/>
      <c r="AH72" s="244"/>
      <c r="AI72" s="243"/>
      <c r="AJ72" s="244"/>
      <c r="AK72" s="243"/>
      <c r="AL72" s="244"/>
      <c r="AM72" s="40">
        <v>0</v>
      </c>
      <c r="AN72" s="40" t="s">
        <v>849</v>
      </c>
      <c r="AO72" s="180"/>
      <c r="AP72" s="126"/>
      <c r="AQ72" s="126"/>
      <c r="AR72" s="50" t="s">
        <v>868</v>
      </c>
      <c r="AS72" s="51" t="s">
        <v>377</v>
      </c>
    </row>
    <row r="73" spans="1:45" ht="195.75" x14ac:dyDescent="0.25">
      <c r="A73" s="202" t="s">
        <v>347</v>
      </c>
      <c r="B73" s="53"/>
      <c r="C73" s="13" t="s">
        <v>840</v>
      </c>
      <c r="D73" s="14"/>
      <c r="E73" s="14" t="s">
        <v>855</v>
      </c>
      <c r="F73" s="103" t="s">
        <v>869</v>
      </c>
      <c r="G73" s="39" t="s">
        <v>870</v>
      </c>
      <c r="H73" s="16" t="s">
        <v>871</v>
      </c>
      <c r="I73" s="17" t="s">
        <v>846</v>
      </c>
      <c r="J73" s="32" t="s">
        <v>872</v>
      </c>
      <c r="K73" s="17" t="s">
        <v>48</v>
      </c>
      <c r="L73" s="143" t="s">
        <v>254</v>
      </c>
      <c r="M73" s="18" t="s">
        <v>357</v>
      </c>
      <c r="N73" s="18" t="s">
        <v>357</v>
      </c>
      <c r="O73" s="201"/>
      <c r="P73" s="32"/>
      <c r="Q73" s="201"/>
      <c r="R73" s="32"/>
      <c r="S73" s="201">
        <v>0.73</v>
      </c>
      <c r="T73" s="36" t="s">
        <v>873</v>
      </c>
      <c r="U73" s="46"/>
      <c r="V73" s="244"/>
      <c r="W73" s="46"/>
      <c r="X73" s="103"/>
      <c r="Y73" s="124">
        <f>(11/15)</f>
        <v>0.73333333333333328</v>
      </c>
      <c r="Z73" s="242" t="s">
        <v>874</v>
      </c>
      <c r="AA73" s="243"/>
      <c r="AB73" s="244"/>
      <c r="AC73" s="243"/>
      <c r="AD73" s="244"/>
      <c r="AE73" s="200">
        <f>(11/15)</f>
        <v>0.73333333333333328</v>
      </c>
      <c r="AF73" s="191" t="s">
        <v>875</v>
      </c>
      <c r="AG73" s="243"/>
      <c r="AH73" s="244"/>
      <c r="AI73" s="243"/>
      <c r="AJ73" s="244"/>
      <c r="AK73" s="243"/>
      <c r="AL73" s="244"/>
      <c r="AM73" s="40">
        <v>0</v>
      </c>
      <c r="AN73" s="40" t="s">
        <v>849</v>
      </c>
      <c r="AO73" s="126"/>
      <c r="AP73" s="126"/>
      <c r="AQ73" s="127"/>
      <c r="AR73" s="193" t="s">
        <v>623</v>
      </c>
      <c r="AS73" s="43" t="str">
        <f>IF($AE73&gt;=25%,"RESULTADOS FAVORABLES",IF($AE73&lt;12.5%,"ACCIÓN CORRECTIVA",IF($AE73&lt;24%,"OPORTUNIDAD DE MEJORA")))</f>
        <v>RESULTADOS FAVORABLES</v>
      </c>
    </row>
    <row r="74" spans="1:45" ht="409.5" x14ac:dyDescent="0.25">
      <c r="A74" s="202" t="s">
        <v>347</v>
      </c>
      <c r="B74" s="246" t="s">
        <v>876</v>
      </c>
      <c r="C74" s="247" t="s">
        <v>877</v>
      </c>
      <c r="D74" s="14"/>
      <c r="E74" s="14" t="s">
        <v>878</v>
      </c>
      <c r="F74" s="248" t="s">
        <v>879</v>
      </c>
      <c r="G74" s="39" t="s">
        <v>880</v>
      </c>
      <c r="H74" s="39" t="s">
        <v>881</v>
      </c>
      <c r="I74" s="249" t="s">
        <v>46</v>
      </c>
      <c r="J74" s="249" t="s">
        <v>882</v>
      </c>
      <c r="K74" s="249" t="s">
        <v>883</v>
      </c>
      <c r="L74" s="249" t="s">
        <v>163</v>
      </c>
      <c r="M74" s="18" t="s">
        <v>50</v>
      </c>
      <c r="N74" s="18" t="s">
        <v>50</v>
      </c>
      <c r="O74" s="250">
        <v>565.69000000000005</v>
      </c>
      <c r="P74" s="251" t="s">
        <v>884</v>
      </c>
      <c r="Q74" s="252">
        <v>1435.57</v>
      </c>
      <c r="R74" s="251" t="s">
        <v>885</v>
      </c>
      <c r="S74" s="250">
        <v>1193.73</v>
      </c>
      <c r="T74" s="251" t="s">
        <v>886</v>
      </c>
      <c r="U74" s="253">
        <v>1107.08</v>
      </c>
      <c r="V74" s="251" t="s">
        <v>887</v>
      </c>
      <c r="W74" s="254">
        <v>1004.9</v>
      </c>
      <c r="X74" s="249" t="s">
        <v>888</v>
      </c>
      <c r="Y74" s="254">
        <v>509.44</v>
      </c>
      <c r="Z74" s="249" t="s">
        <v>889</v>
      </c>
      <c r="AA74" s="255">
        <v>1577.5</v>
      </c>
      <c r="AB74" s="249" t="s">
        <v>890</v>
      </c>
      <c r="AC74" s="255">
        <v>787.56</v>
      </c>
      <c r="AD74" s="249" t="s">
        <v>891</v>
      </c>
      <c r="AE74" s="249">
        <v>753.51</v>
      </c>
      <c r="AF74" s="249" t="s">
        <v>892</v>
      </c>
      <c r="AG74" s="249"/>
      <c r="AH74" s="251"/>
      <c r="AI74" s="249"/>
      <c r="AJ74" s="251"/>
      <c r="AK74" s="249"/>
      <c r="AL74" s="251"/>
      <c r="AM74" s="18" t="s">
        <v>152</v>
      </c>
      <c r="AN74" s="40" t="s">
        <v>893</v>
      </c>
      <c r="AO74" s="126"/>
      <c r="AP74" s="126"/>
      <c r="AQ74" s="127"/>
      <c r="AR74" s="42" t="s">
        <v>894</v>
      </c>
      <c r="AS74" s="43" t="str">
        <f>IF($AE74&gt;=25%,"RESULTADOS FAVORABLES",IF($AE74&lt;12.5%,"ACCIÓN CORRECTIVA",IF($AE74&lt;24%,"OPORTUNIDAD DE MEJORA")))</f>
        <v>RESULTADOS FAVORABLES</v>
      </c>
    </row>
    <row r="75" spans="1:45" ht="390" x14ac:dyDescent="0.25">
      <c r="A75" s="202" t="s">
        <v>347</v>
      </c>
      <c r="B75" s="246"/>
      <c r="C75" s="247" t="s">
        <v>877</v>
      </c>
      <c r="D75" s="14"/>
      <c r="E75" s="14" t="s">
        <v>878</v>
      </c>
      <c r="F75" s="248" t="s">
        <v>895</v>
      </c>
      <c r="G75" s="39" t="s">
        <v>896</v>
      </c>
      <c r="H75" s="39" t="s">
        <v>897</v>
      </c>
      <c r="I75" s="249" t="s">
        <v>46</v>
      </c>
      <c r="J75" s="249" t="s">
        <v>898</v>
      </c>
      <c r="K75" s="249" t="s">
        <v>883</v>
      </c>
      <c r="L75" s="249" t="s">
        <v>163</v>
      </c>
      <c r="M75" s="18" t="s">
        <v>50</v>
      </c>
      <c r="N75" s="18" t="s">
        <v>50</v>
      </c>
      <c r="O75" s="250">
        <v>45.42</v>
      </c>
      <c r="P75" s="251" t="s">
        <v>899</v>
      </c>
      <c r="Q75" s="250">
        <v>28.71</v>
      </c>
      <c r="R75" s="251" t="s">
        <v>900</v>
      </c>
      <c r="S75" s="250">
        <v>56.27</v>
      </c>
      <c r="T75" s="251" t="s">
        <v>901</v>
      </c>
      <c r="U75" s="254">
        <v>32.75</v>
      </c>
      <c r="V75" s="251" t="s">
        <v>902</v>
      </c>
      <c r="W75" s="254">
        <v>37.94</v>
      </c>
      <c r="X75" s="249" t="s">
        <v>903</v>
      </c>
      <c r="Y75" s="254">
        <v>46.11</v>
      </c>
      <c r="Z75" s="249" t="s">
        <v>904</v>
      </c>
      <c r="AA75" s="255">
        <v>47.5</v>
      </c>
      <c r="AB75" s="249" t="s">
        <v>905</v>
      </c>
      <c r="AC75" s="255">
        <v>82.81</v>
      </c>
      <c r="AD75" s="249" t="s">
        <v>906</v>
      </c>
      <c r="AE75" s="249">
        <v>35.96</v>
      </c>
      <c r="AF75" s="249" t="s">
        <v>907</v>
      </c>
      <c r="AG75" s="249"/>
      <c r="AH75" s="251"/>
      <c r="AI75" s="249"/>
      <c r="AJ75" s="251"/>
      <c r="AK75" s="249"/>
      <c r="AL75" s="251"/>
      <c r="AM75" s="18" t="s">
        <v>152</v>
      </c>
      <c r="AN75" s="40" t="s">
        <v>893</v>
      </c>
      <c r="AO75" s="126"/>
      <c r="AP75" s="126"/>
      <c r="AQ75" s="127"/>
      <c r="AR75" s="42" t="s">
        <v>908</v>
      </c>
      <c r="AS75" s="43" t="str">
        <f>IF($AE75&gt;=25%,"RESULTADOS FAVORABLES",IF($AE75&lt;12.5%,"ACCIÓN CORRECTIVA",IF($AE75&lt;24%,"OPORTUNIDAD DE MEJORA")))</f>
        <v>RESULTADOS FAVORABLES</v>
      </c>
    </row>
    <row r="76" spans="1:45" ht="195" x14ac:dyDescent="0.25">
      <c r="A76" s="256" t="s">
        <v>347</v>
      </c>
      <c r="B76" s="91" t="s">
        <v>909</v>
      </c>
      <c r="C76" s="257" t="s">
        <v>910</v>
      </c>
      <c r="D76" s="93" t="s">
        <v>911</v>
      </c>
      <c r="E76" s="93" t="s">
        <v>912</v>
      </c>
      <c r="F76" s="94" t="s">
        <v>913</v>
      </c>
      <c r="G76" s="25" t="s">
        <v>914</v>
      </c>
      <c r="H76" s="25" t="s">
        <v>45</v>
      </c>
      <c r="I76" s="95" t="s">
        <v>46</v>
      </c>
      <c r="J76" s="95" t="s">
        <v>915</v>
      </c>
      <c r="K76" s="189" t="s">
        <v>424</v>
      </c>
      <c r="L76" s="189" t="s">
        <v>916</v>
      </c>
      <c r="M76" s="18" t="s">
        <v>50</v>
      </c>
      <c r="N76" s="18" t="s">
        <v>50</v>
      </c>
      <c r="O76" s="204">
        <v>1.9800000000000002E-2</v>
      </c>
      <c r="P76" s="47" t="s">
        <v>917</v>
      </c>
      <c r="Q76" s="187">
        <f>60372682/2366626819</f>
        <v>2.5510013456836431E-2</v>
      </c>
      <c r="R76" s="47" t="s">
        <v>918</v>
      </c>
      <c r="S76" s="205">
        <f>52535016/2234588239</f>
        <v>2.3509931307751773E-2</v>
      </c>
      <c r="T76" s="47" t="s">
        <v>919</v>
      </c>
      <c r="U76" s="205">
        <f>96132983/3107636255</f>
        <v>3.0934438625282418E-2</v>
      </c>
      <c r="V76" s="17" t="s">
        <v>920</v>
      </c>
      <c r="W76" s="205">
        <f>54433189/2852488331</f>
        <v>1.9082703479778057E-2</v>
      </c>
      <c r="X76" s="23" t="s">
        <v>921</v>
      </c>
      <c r="Y76" s="205">
        <f>58224446/3203689268</f>
        <v>1.8174186423625401E-2</v>
      </c>
      <c r="Z76" s="23" t="s">
        <v>922</v>
      </c>
      <c r="AA76" s="84">
        <f>79597028/2931793114</f>
        <v>2.7149606027760117E-2</v>
      </c>
      <c r="AB76" s="23" t="s">
        <v>923</v>
      </c>
      <c r="AC76" s="84">
        <f>53069591/3078861278</f>
        <v>1.7236759375685001E-2</v>
      </c>
      <c r="AD76" s="23" t="s">
        <v>924</v>
      </c>
      <c r="AE76" s="84">
        <f>55091538/4589139558</f>
        <v>1.2004764140145159E-2</v>
      </c>
      <c r="AF76" s="23" t="s">
        <v>925</v>
      </c>
      <c r="AG76" s="258"/>
      <c r="AH76" s="258"/>
      <c r="AI76" s="258"/>
      <c r="AJ76" s="258"/>
      <c r="AK76" s="258"/>
      <c r="AL76" s="258"/>
      <c r="AM76" s="18" t="s">
        <v>60</v>
      </c>
      <c r="AN76" s="18" t="s">
        <v>61</v>
      </c>
      <c r="AO76" s="101"/>
      <c r="AP76" s="101"/>
      <c r="AQ76" s="259"/>
      <c r="AR76" s="50" t="s">
        <v>367</v>
      </c>
      <c r="AS76" s="43" t="str">
        <f>+[1]Hoja1!$AG$10</f>
        <v>RESULTADOS FAVORABLES</v>
      </c>
    </row>
    <row r="77" spans="1:45" ht="90" x14ac:dyDescent="0.25">
      <c r="A77" s="120" t="s">
        <v>347</v>
      </c>
      <c r="B77" s="260"/>
      <c r="C77" s="261" t="s">
        <v>910</v>
      </c>
      <c r="D77" s="152"/>
      <c r="E77" s="14" t="s">
        <v>912</v>
      </c>
      <c r="F77" s="103" t="s">
        <v>926</v>
      </c>
      <c r="G77" s="14" t="s">
        <v>927</v>
      </c>
      <c r="H77" s="251" t="s">
        <v>928</v>
      </c>
      <c r="I77" s="95" t="s">
        <v>66</v>
      </c>
      <c r="J77" s="189" t="s">
        <v>929</v>
      </c>
      <c r="K77" s="189" t="s">
        <v>424</v>
      </c>
      <c r="L77" s="189" t="s">
        <v>916</v>
      </c>
      <c r="M77" s="18" t="s">
        <v>536</v>
      </c>
      <c r="N77" s="18" t="s">
        <v>536</v>
      </c>
      <c r="O77" s="200" t="s">
        <v>149</v>
      </c>
      <c r="P77" s="32" t="s">
        <v>537</v>
      </c>
      <c r="Q77" s="200" t="s">
        <v>149</v>
      </c>
      <c r="R77" s="32" t="s">
        <v>537</v>
      </c>
      <c r="S77" s="200" t="s">
        <v>149</v>
      </c>
      <c r="T77" s="32" t="s">
        <v>537</v>
      </c>
      <c r="U77" s="200" t="s">
        <v>149</v>
      </c>
      <c r="V77" s="32" t="s">
        <v>537</v>
      </c>
      <c r="W77" s="200" t="s">
        <v>149</v>
      </c>
      <c r="X77" s="32" t="s">
        <v>537</v>
      </c>
      <c r="Y77" s="200" t="s">
        <v>149</v>
      </c>
      <c r="Z77" s="32" t="s">
        <v>537</v>
      </c>
      <c r="AA77" s="244"/>
      <c r="AB77" s="103"/>
      <c r="AC77" s="244"/>
      <c r="AD77" s="103"/>
      <c r="AE77" s="103"/>
      <c r="AF77" s="103"/>
      <c r="AG77" s="244"/>
      <c r="AH77" s="244"/>
      <c r="AI77" s="244"/>
      <c r="AJ77" s="262"/>
      <c r="AK77" s="201"/>
      <c r="AL77" s="27"/>
      <c r="AM77" s="201">
        <v>0</v>
      </c>
      <c r="AN77" s="188" t="s">
        <v>930</v>
      </c>
      <c r="AO77" s="263"/>
      <c r="AP77" s="126"/>
      <c r="AQ77" s="126"/>
      <c r="AR77" s="50"/>
      <c r="AS77" s="18" t="s">
        <v>537</v>
      </c>
    </row>
    <row r="78" spans="1:45" ht="90" x14ac:dyDescent="0.25">
      <c r="A78" s="120" t="s">
        <v>347</v>
      </c>
      <c r="B78" s="260"/>
      <c r="C78" s="261" t="s">
        <v>910</v>
      </c>
      <c r="D78" s="264"/>
      <c r="E78" s="14" t="s">
        <v>912</v>
      </c>
      <c r="F78" s="103" t="s">
        <v>931</v>
      </c>
      <c r="G78" s="14" t="s">
        <v>927</v>
      </c>
      <c r="H78" s="251" t="s">
        <v>932</v>
      </c>
      <c r="I78" s="95" t="s">
        <v>66</v>
      </c>
      <c r="J78" s="189" t="s">
        <v>929</v>
      </c>
      <c r="K78" s="189" t="s">
        <v>424</v>
      </c>
      <c r="L78" s="189" t="s">
        <v>916</v>
      </c>
      <c r="M78" s="18" t="s">
        <v>536</v>
      </c>
      <c r="N78" s="18" t="s">
        <v>536</v>
      </c>
      <c r="O78" s="200" t="s">
        <v>149</v>
      </c>
      <c r="P78" s="32" t="s">
        <v>537</v>
      </c>
      <c r="Q78" s="200" t="s">
        <v>149</v>
      </c>
      <c r="R78" s="32" t="s">
        <v>537</v>
      </c>
      <c r="S78" s="200" t="s">
        <v>149</v>
      </c>
      <c r="T78" s="32" t="s">
        <v>537</v>
      </c>
      <c r="U78" s="200" t="s">
        <v>149</v>
      </c>
      <c r="V78" s="32" t="s">
        <v>537</v>
      </c>
      <c r="W78" s="200" t="s">
        <v>149</v>
      </c>
      <c r="X78" s="32" t="s">
        <v>537</v>
      </c>
      <c r="Y78" s="200" t="s">
        <v>149</v>
      </c>
      <c r="Z78" s="32" t="s">
        <v>537</v>
      </c>
      <c r="AA78" s="244"/>
      <c r="AB78" s="103"/>
      <c r="AC78" s="244"/>
      <c r="AD78" s="103"/>
      <c r="AE78" s="103"/>
      <c r="AF78" s="103"/>
      <c r="AG78" s="244"/>
      <c r="AH78" s="244"/>
      <c r="AI78" s="244"/>
      <c r="AJ78" s="262"/>
      <c r="AK78" s="201"/>
      <c r="AL78" s="27"/>
      <c r="AM78" s="201">
        <v>0.04</v>
      </c>
      <c r="AN78" s="188" t="s">
        <v>930</v>
      </c>
      <c r="AO78" s="263"/>
      <c r="AP78" s="126"/>
      <c r="AQ78" s="126"/>
      <c r="AR78" s="50"/>
      <c r="AS78" s="18" t="s">
        <v>537</v>
      </c>
    </row>
    <row r="79" spans="1:45" ht="210" x14ac:dyDescent="0.25">
      <c r="A79" s="120" t="s">
        <v>347</v>
      </c>
      <c r="B79" s="260"/>
      <c r="C79" s="261" t="s">
        <v>910</v>
      </c>
      <c r="D79" s="264"/>
      <c r="E79" s="14" t="s">
        <v>912</v>
      </c>
      <c r="F79" s="103" t="s">
        <v>933</v>
      </c>
      <c r="G79" s="14" t="s">
        <v>934</v>
      </c>
      <c r="H79" s="251" t="s">
        <v>935</v>
      </c>
      <c r="I79" s="95" t="s">
        <v>66</v>
      </c>
      <c r="J79" s="189" t="s">
        <v>936</v>
      </c>
      <c r="K79" s="189" t="s">
        <v>424</v>
      </c>
      <c r="L79" s="189" t="s">
        <v>916</v>
      </c>
      <c r="M79" s="18" t="s">
        <v>50</v>
      </c>
      <c r="N79" s="18" t="s">
        <v>50</v>
      </c>
      <c r="O79" s="198">
        <f>(101/101)</f>
        <v>1</v>
      </c>
      <c r="P79" s="265" t="s">
        <v>937</v>
      </c>
      <c r="Q79" s="198">
        <f>(108/108)</f>
        <v>1</v>
      </c>
      <c r="R79" s="265" t="s">
        <v>938</v>
      </c>
      <c r="S79" s="198">
        <f>(60/60)</f>
        <v>1</v>
      </c>
      <c r="T79" s="265" t="s">
        <v>939</v>
      </c>
      <c r="U79" s="198">
        <f>(31/31)</f>
        <v>1</v>
      </c>
      <c r="V79" s="265" t="s">
        <v>940</v>
      </c>
      <c r="W79" s="198">
        <f>(59/59)</f>
        <v>1</v>
      </c>
      <c r="X79" s="265" t="s">
        <v>941</v>
      </c>
      <c r="Y79" s="198">
        <f>(93/93)</f>
        <v>1</v>
      </c>
      <c r="Z79" s="265" t="s">
        <v>942</v>
      </c>
      <c r="AA79" s="198">
        <f>(17/17)</f>
        <v>1</v>
      </c>
      <c r="AB79" s="265" t="s">
        <v>943</v>
      </c>
      <c r="AC79" s="198">
        <f>(14/14)</f>
        <v>1</v>
      </c>
      <c r="AD79" s="265" t="s">
        <v>944</v>
      </c>
      <c r="AE79" s="198">
        <f>(47/47)</f>
        <v>1</v>
      </c>
      <c r="AF79" s="265" t="s">
        <v>945</v>
      </c>
      <c r="AG79" s="244"/>
      <c r="AH79" s="244"/>
      <c r="AI79" s="244"/>
      <c r="AJ79" s="262"/>
      <c r="AK79" s="201"/>
      <c r="AL79" s="27"/>
      <c r="AM79" s="266" t="s">
        <v>152</v>
      </c>
      <c r="AN79" s="201">
        <v>1</v>
      </c>
      <c r="AO79" s="263"/>
      <c r="AP79" s="126"/>
      <c r="AQ79" s="127"/>
      <c r="AR79" s="265" t="s">
        <v>946</v>
      </c>
      <c r="AS79" s="43" t="str">
        <f>IF($AE79&gt;=25%,"RESULTADOS FAVORABLES",IF($AE79&lt;12.5%,"ACCIÓN CORRECTIVA",IF($AE79&lt;24%,"OPORTUNIDAD DE MEJORA")))</f>
        <v>RESULTADOS FAVORABLES</v>
      </c>
    </row>
    <row r="80" spans="1:45" ht="255" x14ac:dyDescent="0.25">
      <c r="A80" s="120" t="s">
        <v>347</v>
      </c>
      <c r="B80" s="53" t="s">
        <v>947</v>
      </c>
      <c r="C80" s="247" t="s">
        <v>948</v>
      </c>
      <c r="D80" s="14"/>
      <c r="E80" s="14" t="s">
        <v>949</v>
      </c>
      <c r="F80" s="248" t="s">
        <v>950</v>
      </c>
      <c r="G80" s="39" t="s">
        <v>951</v>
      </c>
      <c r="H80" s="267" t="s">
        <v>952</v>
      </c>
      <c r="I80" s="249" t="s">
        <v>46</v>
      </c>
      <c r="J80" s="249" t="s">
        <v>953</v>
      </c>
      <c r="K80" s="249" t="s">
        <v>954</v>
      </c>
      <c r="L80" s="249" t="s">
        <v>163</v>
      </c>
      <c r="M80" s="18" t="s">
        <v>50</v>
      </c>
      <c r="N80" s="18" t="s">
        <v>50</v>
      </c>
      <c r="O80" s="268">
        <f>2052-691</f>
        <v>1361</v>
      </c>
      <c r="P80" s="269" t="s">
        <v>955</v>
      </c>
      <c r="Q80" s="268">
        <f>2060-1836</f>
        <v>224</v>
      </c>
      <c r="R80" s="269" t="s">
        <v>956</v>
      </c>
      <c r="S80" s="148">
        <f>2569-2122</f>
        <v>447</v>
      </c>
      <c r="T80" s="269" t="s">
        <v>957</v>
      </c>
      <c r="U80" s="270">
        <f>3167-3037</f>
        <v>130</v>
      </c>
      <c r="V80" s="269" t="s">
        <v>958</v>
      </c>
      <c r="W80" s="270">
        <f>2399-2706</f>
        <v>-307</v>
      </c>
      <c r="X80" s="271" t="s">
        <v>959</v>
      </c>
      <c r="Y80" s="270">
        <f>2028-2177</f>
        <v>-149</v>
      </c>
      <c r="Z80" s="271" t="s">
        <v>960</v>
      </c>
      <c r="AA80" s="272">
        <f>1762-2155</f>
        <v>-393</v>
      </c>
      <c r="AB80" s="271" t="s">
        <v>961</v>
      </c>
      <c r="AC80" s="272">
        <f>1723-1976</f>
        <v>-253</v>
      </c>
      <c r="AD80" s="271" t="s">
        <v>962</v>
      </c>
      <c r="AE80" s="272">
        <f>2307-1762</f>
        <v>545</v>
      </c>
      <c r="AF80" s="271" t="s">
        <v>963</v>
      </c>
      <c r="AG80" s="272"/>
      <c r="AH80" s="273"/>
      <c r="AI80" s="272"/>
      <c r="AJ80" s="274"/>
      <c r="AK80" s="272"/>
      <c r="AL80" s="274"/>
      <c r="AM80" s="266" t="s">
        <v>152</v>
      </c>
      <c r="AN80" s="249" t="s">
        <v>964</v>
      </c>
      <c r="AO80" s="275"/>
      <c r="AP80" s="276"/>
      <c r="AQ80" s="276"/>
      <c r="AR80" s="215" t="s">
        <v>965</v>
      </c>
      <c r="AS80" s="51" t="str">
        <f>+'[3]INFORMACIÓN ADICIONAL'!F17</f>
        <v>ACCIÓN CORRECTIVA</v>
      </c>
    </row>
    <row r="81" spans="1:45" ht="225" x14ac:dyDescent="0.25">
      <c r="A81" s="120" t="s">
        <v>347</v>
      </c>
      <c r="B81" s="398"/>
      <c r="C81" s="247" t="s">
        <v>948</v>
      </c>
      <c r="D81" s="14"/>
      <c r="E81" s="14" t="s">
        <v>949</v>
      </c>
      <c r="F81" s="248" t="s">
        <v>966</v>
      </c>
      <c r="G81" s="39" t="s">
        <v>967</v>
      </c>
      <c r="H81" s="267" t="s">
        <v>968</v>
      </c>
      <c r="I81" s="249" t="s">
        <v>46</v>
      </c>
      <c r="J81" s="249" t="s">
        <v>969</v>
      </c>
      <c r="K81" s="249" t="s">
        <v>336</v>
      </c>
      <c r="L81" s="249" t="s">
        <v>163</v>
      </c>
      <c r="M81" s="18" t="s">
        <v>50</v>
      </c>
      <c r="N81" s="18" t="s">
        <v>50</v>
      </c>
      <c r="O81" s="277">
        <f>0/1313994</f>
        <v>0</v>
      </c>
      <c r="P81" s="146" t="s">
        <v>970</v>
      </c>
      <c r="Q81" s="277">
        <f>86540/1405476</f>
        <v>6.1573445580002786E-2</v>
      </c>
      <c r="R81" s="251" t="s">
        <v>971</v>
      </c>
      <c r="S81" s="278">
        <f>79110/2602877</f>
        <v>3.0393291730650352E-2</v>
      </c>
      <c r="T81" s="251" t="s">
        <v>972</v>
      </c>
      <c r="U81" s="279">
        <f>73230/3025614</f>
        <v>2.4203351782481175E-2</v>
      </c>
      <c r="V81" s="280" t="s">
        <v>973</v>
      </c>
      <c r="W81" s="279">
        <f>106370/1747848</f>
        <v>6.0857694719449289E-2</v>
      </c>
      <c r="X81" s="281" t="s">
        <v>974</v>
      </c>
      <c r="Y81" s="279">
        <f>93290/722496</f>
        <v>0.12912182212773496</v>
      </c>
      <c r="Z81" s="281" t="s">
        <v>975</v>
      </c>
      <c r="AA81" s="279">
        <f>97470/280392</f>
        <v>0.3476204741932723</v>
      </c>
      <c r="AB81" s="281" t="s">
        <v>976</v>
      </c>
      <c r="AC81" s="279">
        <f>103540/1353600</f>
        <v>7.6492316784869979E-2</v>
      </c>
      <c r="AD81" s="281" t="s">
        <v>977</v>
      </c>
      <c r="AE81" s="279">
        <f>72020/3112440</f>
        <v>2.3139401884052384E-2</v>
      </c>
      <c r="AF81" s="281" t="s">
        <v>978</v>
      </c>
      <c r="AG81" s="277"/>
      <c r="AH81" s="251"/>
      <c r="AI81" s="277"/>
      <c r="AJ81" s="251"/>
      <c r="AK81" s="277"/>
      <c r="AL81" s="251"/>
      <c r="AM81" s="266" t="s">
        <v>152</v>
      </c>
      <c r="AN81" s="249" t="s">
        <v>964</v>
      </c>
      <c r="AO81" s="275"/>
      <c r="AP81" s="276"/>
      <c r="AQ81" s="276"/>
      <c r="AR81" s="215" t="s">
        <v>965</v>
      </c>
      <c r="AS81" s="51" t="str">
        <f>+'[3]INFORMACIÓN ADICIONAL'!L17</f>
        <v>ACCIÓN CORRECTIVA</v>
      </c>
    </row>
    <row r="82" spans="1:45" ht="255" x14ac:dyDescent="0.25">
      <c r="A82" s="120" t="s">
        <v>347</v>
      </c>
      <c r="B82" s="399"/>
      <c r="C82" s="247" t="s">
        <v>948</v>
      </c>
      <c r="D82" s="14"/>
      <c r="E82" s="14" t="s">
        <v>949</v>
      </c>
      <c r="F82" s="248" t="s">
        <v>979</v>
      </c>
      <c r="G82" s="39" t="s">
        <v>980</v>
      </c>
      <c r="H82" s="267" t="s">
        <v>981</v>
      </c>
      <c r="I82" s="249" t="s">
        <v>46</v>
      </c>
      <c r="J82" s="249" t="s">
        <v>982</v>
      </c>
      <c r="K82" s="249" t="s">
        <v>954</v>
      </c>
      <c r="L82" s="249" t="s">
        <v>163</v>
      </c>
      <c r="M82" s="18" t="s">
        <v>50</v>
      </c>
      <c r="N82" s="18" t="s">
        <v>50</v>
      </c>
      <c r="O82" s="249">
        <f>9366-5840</f>
        <v>3526</v>
      </c>
      <c r="P82" s="251" t="s">
        <v>983</v>
      </c>
      <c r="Q82" s="148">
        <f>4194-9366</f>
        <v>-5172</v>
      </c>
      <c r="R82" s="146" t="s">
        <v>984</v>
      </c>
      <c r="S82" s="148">
        <f>2196-4194</f>
        <v>-1998</v>
      </c>
      <c r="T82" s="146" t="s">
        <v>985</v>
      </c>
      <c r="U82" s="270">
        <f>8035-4194</f>
        <v>3841</v>
      </c>
      <c r="V82" s="168" t="s">
        <v>986</v>
      </c>
      <c r="W82" s="270">
        <f>0-8035</f>
        <v>-8035</v>
      </c>
      <c r="X82" s="270" t="s">
        <v>987</v>
      </c>
      <c r="Y82" s="270">
        <f>3147-0</f>
        <v>3147</v>
      </c>
      <c r="Z82" s="270" t="s">
        <v>988</v>
      </c>
      <c r="AA82" s="270">
        <f>6380-3147</f>
        <v>3233</v>
      </c>
      <c r="AB82" s="270" t="s">
        <v>989</v>
      </c>
      <c r="AC82" s="270">
        <f>3517-6380</f>
        <v>-2863</v>
      </c>
      <c r="AD82" s="270" t="s">
        <v>990</v>
      </c>
      <c r="AE82" s="270">
        <f>6738-3517</f>
        <v>3221</v>
      </c>
      <c r="AF82" s="270" t="s">
        <v>991</v>
      </c>
      <c r="AG82" s="249"/>
      <c r="AH82" s="168"/>
      <c r="AI82" s="249"/>
      <c r="AJ82" s="168"/>
      <c r="AK82" s="249"/>
      <c r="AL82" s="168"/>
      <c r="AM82" s="266" t="s">
        <v>152</v>
      </c>
      <c r="AN82" s="249" t="s">
        <v>992</v>
      </c>
      <c r="AO82" s="276"/>
      <c r="AP82" s="276"/>
      <c r="AQ82" s="276"/>
      <c r="AR82" s="215" t="s">
        <v>993</v>
      </c>
      <c r="AS82" s="51"/>
    </row>
    <row r="83" spans="1:45" ht="225" x14ac:dyDescent="0.25">
      <c r="A83" s="120" t="s">
        <v>347</v>
      </c>
      <c r="B83" s="399"/>
      <c r="C83" s="247" t="s">
        <v>948</v>
      </c>
      <c r="D83" s="14"/>
      <c r="E83" s="14" t="s">
        <v>949</v>
      </c>
      <c r="F83" s="248" t="s">
        <v>994</v>
      </c>
      <c r="G83" s="39" t="s">
        <v>995</v>
      </c>
      <c r="H83" s="267" t="s">
        <v>996</v>
      </c>
      <c r="I83" s="249" t="s">
        <v>46</v>
      </c>
      <c r="J83" s="249" t="s">
        <v>997</v>
      </c>
      <c r="K83" s="249" t="s">
        <v>998</v>
      </c>
      <c r="L83" s="249" t="s">
        <v>163</v>
      </c>
      <c r="M83" s="18" t="s">
        <v>50</v>
      </c>
      <c r="N83" s="18" t="s">
        <v>50</v>
      </c>
      <c r="O83" s="249">
        <f>137.1-12.2</f>
        <v>124.89999999999999</v>
      </c>
      <c r="P83" s="251" t="s">
        <v>999</v>
      </c>
      <c r="Q83" s="249">
        <f>78.2-137.1</f>
        <v>-58.899999999999991</v>
      </c>
      <c r="R83" s="251" t="s">
        <v>1000</v>
      </c>
      <c r="S83" s="148">
        <f>186.6-78.2</f>
        <v>108.39999999999999</v>
      </c>
      <c r="T83" s="251" t="s">
        <v>1001</v>
      </c>
      <c r="U83" s="270">
        <f>127-186.6</f>
        <v>-59.599999999999994</v>
      </c>
      <c r="V83" s="251" t="s">
        <v>1002</v>
      </c>
      <c r="W83" s="270">
        <f>24.7-127</f>
        <v>-102.3</v>
      </c>
      <c r="X83" s="249" t="s">
        <v>1003</v>
      </c>
      <c r="Y83" s="270">
        <f>40-24.2</f>
        <v>15.8</v>
      </c>
      <c r="Z83" s="249" t="s">
        <v>1004</v>
      </c>
      <c r="AA83" s="270">
        <f>217.12-40</f>
        <v>177.12</v>
      </c>
      <c r="AB83" s="249" t="s">
        <v>1005</v>
      </c>
      <c r="AC83" s="270">
        <f>65.25-217.12</f>
        <v>-151.87</v>
      </c>
      <c r="AD83" s="270" t="s">
        <v>1006</v>
      </c>
      <c r="AE83" s="270">
        <f>221.75-65.25</f>
        <v>156.5</v>
      </c>
      <c r="AF83" s="270" t="s">
        <v>1007</v>
      </c>
      <c r="AG83" s="249"/>
      <c r="AH83" s="168"/>
      <c r="AI83" s="249"/>
      <c r="AJ83" s="168"/>
      <c r="AK83" s="249"/>
      <c r="AL83" s="168"/>
      <c r="AM83" s="266" t="s">
        <v>152</v>
      </c>
      <c r="AN83" s="249" t="s">
        <v>964</v>
      </c>
      <c r="AO83" s="275"/>
      <c r="AP83" s="276"/>
      <c r="AQ83" s="276"/>
      <c r="AR83" s="215" t="s">
        <v>965</v>
      </c>
      <c r="AS83" s="51" t="str">
        <f>+'[3]INFORMACIÓN ADICIONAL'!X17</f>
        <v>ACCIÓN CORRECTIVA</v>
      </c>
    </row>
    <row r="84" spans="1:45" ht="180" x14ac:dyDescent="0.25">
      <c r="A84" s="202" t="s">
        <v>1008</v>
      </c>
      <c r="B84" s="53" t="s">
        <v>1009</v>
      </c>
      <c r="C84" s="282" t="s">
        <v>1010</v>
      </c>
      <c r="D84" s="14" t="s">
        <v>1011</v>
      </c>
      <c r="E84" s="14" t="s">
        <v>1012</v>
      </c>
      <c r="F84" s="248" t="s">
        <v>1013</v>
      </c>
      <c r="G84" s="16" t="s">
        <v>1014</v>
      </c>
      <c r="H84" s="16" t="s">
        <v>1015</v>
      </c>
      <c r="I84" s="17" t="s">
        <v>46</v>
      </c>
      <c r="J84" s="249" t="s">
        <v>1016</v>
      </c>
      <c r="K84" s="249" t="s">
        <v>424</v>
      </c>
      <c r="L84" s="249" t="s">
        <v>1017</v>
      </c>
      <c r="M84" s="249" t="s">
        <v>50</v>
      </c>
      <c r="N84" s="249" t="s">
        <v>50</v>
      </c>
      <c r="O84" s="19">
        <f>27759242/2573428142</f>
        <v>1.0786872789238348E-2</v>
      </c>
      <c r="P84" s="20" t="s">
        <v>1018</v>
      </c>
      <c r="Q84" s="186">
        <f>53824733/2366626819</f>
        <v>2.2743227858265897E-2</v>
      </c>
      <c r="R84" s="20" t="s">
        <v>1019</v>
      </c>
      <c r="S84" s="186">
        <f>42358077/2234588239</f>
        <v>1.8955651990254656E-2</v>
      </c>
      <c r="T84" s="20" t="s">
        <v>1020</v>
      </c>
      <c r="U84" s="283">
        <f>73673161/3107636255</f>
        <v>2.3707137822666445E-2</v>
      </c>
      <c r="V84" s="17" t="s">
        <v>1021</v>
      </c>
      <c r="W84" s="283">
        <f>42316042/2852488331</f>
        <v>1.4834781807911977E-2</v>
      </c>
      <c r="X84" s="17" t="s">
        <v>1022</v>
      </c>
      <c r="Y84" s="283">
        <f>39655403/3203689268</f>
        <v>1.2378042838329351E-2</v>
      </c>
      <c r="Z84" s="17" t="s">
        <v>1023</v>
      </c>
      <c r="AA84" s="84">
        <f>54068296/2931793114</f>
        <v>1.8442057095301577E-2</v>
      </c>
      <c r="AB84" s="17" t="s">
        <v>1024</v>
      </c>
      <c r="AC84" s="84">
        <f>39310572/3078861278</f>
        <v>1.2767893208081069E-2</v>
      </c>
      <c r="AD84" s="17" t="s">
        <v>1025</v>
      </c>
      <c r="AE84" s="84">
        <f>52412397/4589139558</f>
        <v>1.1420963851193474E-2</v>
      </c>
      <c r="AF84" s="17" t="s">
        <v>1026</v>
      </c>
      <c r="AG84" s="284"/>
      <c r="AH84" s="285"/>
      <c r="AI84" s="284"/>
      <c r="AJ84" s="285"/>
      <c r="AK84" s="284"/>
      <c r="AL84" s="285"/>
      <c r="AM84" s="266" t="s">
        <v>60</v>
      </c>
      <c r="AN84" s="18" t="s">
        <v>1027</v>
      </c>
      <c r="AO84" s="206"/>
      <c r="AP84" s="286"/>
      <c r="AQ84" s="126"/>
      <c r="AR84" s="28" t="s">
        <v>62</v>
      </c>
      <c r="AS84" s="29" t="str">
        <f>+[1]Hoja1!$AG$14</f>
        <v xml:space="preserve">OPORTUNIDAD DE MEJORA </v>
      </c>
    </row>
    <row r="85" spans="1:45" ht="396" x14ac:dyDescent="0.25">
      <c r="A85" s="202" t="s">
        <v>1008</v>
      </c>
      <c r="B85" s="12"/>
      <c r="C85" s="282" t="s">
        <v>1010</v>
      </c>
      <c r="D85" s="14"/>
      <c r="E85" s="14" t="s">
        <v>1012</v>
      </c>
      <c r="F85" s="248" t="s">
        <v>1028</v>
      </c>
      <c r="G85" s="39" t="s">
        <v>1029</v>
      </c>
      <c r="H85" s="251" t="s">
        <v>1030</v>
      </c>
      <c r="I85" s="249" t="s">
        <v>66</v>
      </c>
      <c r="J85" s="249" t="s">
        <v>1031</v>
      </c>
      <c r="K85" s="249" t="s">
        <v>424</v>
      </c>
      <c r="L85" s="249" t="s">
        <v>1017</v>
      </c>
      <c r="M85" s="249" t="s">
        <v>1032</v>
      </c>
      <c r="N85" s="249" t="s">
        <v>357</v>
      </c>
      <c r="O85" s="287">
        <f>0/6*100</f>
        <v>0</v>
      </c>
      <c r="P85" s="251" t="s">
        <v>1033</v>
      </c>
      <c r="Q85" s="287">
        <f>0/6*100</f>
        <v>0</v>
      </c>
      <c r="R85" s="251" t="s">
        <v>1034</v>
      </c>
      <c r="S85" s="284">
        <f>0/6*100</f>
        <v>0</v>
      </c>
      <c r="T85" s="251" t="s">
        <v>1035</v>
      </c>
      <c r="U85" s="288">
        <f>(3/16)</f>
        <v>0.1875</v>
      </c>
      <c r="V85" s="289" t="s">
        <v>1036</v>
      </c>
      <c r="W85" s="288">
        <v>0</v>
      </c>
      <c r="X85" s="290" t="s">
        <v>1037</v>
      </c>
      <c r="Y85" s="288">
        <f>(0/6)</f>
        <v>0</v>
      </c>
      <c r="Z85" s="290" t="s">
        <v>1038</v>
      </c>
      <c r="AA85" s="60">
        <v>0.66</v>
      </c>
      <c r="AB85" s="27" t="s">
        <v>1039</v>
      </c>
      <c r="AC85" s="291">
        <f>+(0.833333333333333)*1</f>
        <v>0.83333333333333304</v>
      </c>
      <c r="AD85" s="249" t="s">
        <v>1040</v>
      </c>
      <c r="AE85" s="291">
        <f>+(0.833333333333333)*1</f>
        <v>0.83333333333333304</v>
      </c>
      <c r="AF85" s="249" t="s">
        <v>1041</v>
      </c>
      <c r="AG85" s="288"/>
      <c r="AH85" s="292"/>
      <c r="AI85" s="288"/>
      <c r="AJ85" s="292"/>
      <c r="AK85" s="288"/>
      <c r="AL85" s="292"/>
      <c r="AM85" s="291" t="s">
        <v>1042</v>
      </c>
      <c r="AN85" s="291" t="s">
        <v>1043</v>
      </c>
      <c r="AO85" s="168"/>
      <c r="AP85" s="168"/>
      <c r="AQ85" s="293"/>
      <c r="AR85" s="28" t="s">
        <v>1044</v>
      </c>
      <c r="AS85" s="43" t="s">
        <v>324</v>
      </c>
    </row>
    <row r="86" spans="1:45" ht="409.5" x14ac:dyDescent="0.25">
      <c r="A86" s="202" t="s">
        <v>1008</v>
      </c>
      <c r="B86" s="294"/>
      <c r="C86" s="282" t="s">
        <v>1010</v>
      </c>
      <c r="D86" s="14"/>
      <c r="E86" s="14" t="s">
        <v>1012</v>
      </c>
      <c r="F86" s="248" t="s">
        <v>1045</v>
      </c>
      <c r="G86" s="39" t="s">
        <v>1046</v>
      </c>
      <c r="H86" s="251" t="s">
        <v>1047</v>
      </c>
      <c r="I86" s="249" t="s">
        <v>66</v>
      </c>
      <c r="J86" s="249" t="s">
        <v>1048</v>
      </c>
      <c r="K86" s="249" t="s">
        <v>424</v>
      </c>
      <c r="L86" s="249" t="s">
        <v>1017</v>
      </c>
      <c r="M86" s="249" t="s">
        <v>500</v>
      </c>
      <c r="N86" s="249" t="s">
        <v>500</v>
      </c>
      <c r="O86" s="295">
        <f>0/2</f>
        <v>0</v>
      </c>
      <c r="P86" s="251" t="s">
        <v>1049</v>
      </c>
      <c r="Q86" s="295">
        <f>0/2</f>
        <v>0</v>
      </c>
      <c r="R86" s="251" t="s">
        <v>1049</v>
      </c>
      <c r="S86" s="284">
        <f>0/2</f>
        <v>0</v>
      </c>
      <c r="T86" s="251" t="s">
        <v>1050</v>
      </c>
      <c r="U86" s="296">
        <v>0</v>
      </c>
      <c r="V86" s="292" t="s">
        <v>1051</v>
      </c>
      <c r="W86" s="296">
        <v>0</v>
      </c>
      <c r="X86" s="297" t="s">
        <v>1051</v>
      </c>
      <c r="Y86" s="296">
        <v>0</v>
      </c>
      <c r="Z86" s="297" t="s">
        <v>1051</v>
      </c>
      <c r="AA86" s="47">
        <v>0</v>
      </c>
      <c r="AB86" s="270" t="s">
        <v>1052</v>
      </c>
      <c r="AC86" s="298">
        <f>+(0.5)</f>
        <v>0.5</v>
      </c>
      <c r="AD86" s="249" t="s">
        <v>1053</v>
      </c>
      <c r="AE86" s="291">
        <f>+(0.5)</f>
        <v>0.5</v>
      </c>
      <c r="AF86" s="249" t="s">
        <v>1054</v>
      </c>
      <c r="AG86" s="292"/>
      <c r="AH86" s="292"/>
      <c r="AI86" s="292"/>
      <c r="AJ86" s="292"/>
      <c r="AK86" s="288"/>
      <c r="AL86" s="292"/>
      <c r="AM86" s="291" t="s">
        <v>1055</v>
      </c>
      <c r="AN86" s="291" t="s">
        <v>1056</v>
      </c>
      <c r="AO86" s="299"/>
      <c r="AP86" s="299"/>
      <c r="AQ86" s="299"/>
      <c r="AR86" s="28" t="s">
        <v>1057</v>
      </c>
      <c r="AS86" s="51"/>
    </row>
    <row r="87" spans="1:45" ht="165" x14ac:dyDescent="0.25">
      <c r="A87" s="202" t="s">
        <v>1008</v>
      </c>
      <c r="B87" s="294"/>
      <c r="C87" s="282" t="s">
        <v>1010</v>
      </c>
      <c r="D87" s="14"/>
      <c r="E87" s="14" t="s">
        <v>1012</v>
      </c>
      <c r="F87" s="248" t="s">
        <v>1058</v>
      </c>
      <c r="G87" s="16" t="s">
        <v>1059</v>
      </c>
      <c r="H87" s="251" t="s">
        <v>1060</v>
      </c>
      <c r="I87" s="249" t="s">
        <v>66</v>
      </c>
      <c r="J87" s="249" t="s">
        <v>1048</v>
      </c>
      <c r="K87" s="249" t="s">
        <v>424</v>
      </c>
      <c r="L87" s="249" t="s">
        <v>1017</v>
      </c>
      <c r="M87" s="249" t="s">
        <v>536</v>
      </c>
      <c r="N87" s="249" t="s">
        <v>536</v>
      </c>
      <c r="O87" s="295">
        <v>1</v>
      </c>
      <c r="P87" s="146" t="s">
        <v>1061</v>
      </c>
      <c r="Q87" s="295">
        <v>1</v>
      </c>
      <c r="R87" s="146" t="s">
        <v>1061</v>
      </c>
      <c r="S87" s="295">
        <v>1</v>
      </c>
      <c r="T87" s="251" t="s">
        <v>1062</v>
      </c>
      <c r="U87" s="288">
        <v>0</v>
      </c>
      <c r="V87" s="297" t="s">
        <v>1063</v>
      </c>
      <c r="W87" s="288">
        <v>0</v>
      </c>
      <c r="X87" s="297" t="s">
        <v>1063</v>
      </c>
      <c r="Y87" s="288">
        <v>0</v>
      </c>
      <c r="Z87" s="297" t="s">
        <v>1063</v>
      </c>
      <c r="AA87" s="60" t="s">
        <v>149</v>
      </c>
      <c r="AB87" s="270" t="s">
        <v>1064</v>
      </c>
      <c r="AC87" s="60" t="s">
        <v>149</v>
      </c>
      <c r="AD87" s="270" t="s">
        <v>1064</v>
      </c>
      <c r="AE87" s="60" t="s">
        <v>149</v>
      </c>
      <c r="AF87" s="270" t="s">
        <v>1064</v>
      </c>
      <c r="AG87" s="292"/>
      <c r="AH87" s="292"/>
      <c r="AI87" s="292"/>
      <c r="AJ87" s="292"/>
      <c r="AK87" s="292"/>
      <c r="AL87" s="292"/>
      <c r="AM87" s="291" t="s">
        <v>1065</v>
      </c>
      <c r="AN87" s="291" t="s">
        <v>1066</v>
      </c>
      <c r="AO87" s="299"/>
      <c r="AP87" s="299"/>
      <c r="AQ87" s="299"/>
      <c r="AR87" s="28" t="s">
        <v>1064</v>
      </c>
      <c r="AS87" s="43"/>
    </row>
    <row r="88" spans="1:45" ht="390" x14ac:dyDescent="0.25">
      <c r="A88" s="202" t="s">
        <v>1008</v>
      </c>
      <c r="B88" s="294"/>
      <c r="C88" s="282" t="s">
        <v>1010</v>
      </c>
      <c r="D88" s="14"/>
      <c r="E88" s="14" t="s">
        <v>1012</v>
      </c>
      <c r="F88" s="248" t="s">
        <v>1067</v>
      </c>
      <c r="G88" s="39" t="s">
        <v>1068</v>
      </c>
      <c r="H88" s="251" t="s">
        <v>1069</v>
      </c>
      <c r="I88" s="249" t="s">
        <v>66</v>
      </c>
      <c r="J88" s="249" t="s">
        <v>1070</v>
      </c>
      <c r="K88" s="249" t="s">
        <v>424</v>
      </c>
      <c r="L88" s="249" t="s">
        <v>1017</v>
      </c>
      <c r="M88" s="249" t="s">
        <v>50</v>
      </c>
      <c r="N88" s="249" t="s">
        <v>50</v>
      </c>
      <c r="O88" s="284">
        <f>1/1</f>
        <v>1</v>
      </c>
      <c r="P88" s="300" t="s">
        <v>1071</v>
      </c>
      <c r="Q88" s="284">
        <f>2/2</f>
        <v>1</v>
      </c>
      <c r="R88" s="300" t="s">
        <v>1072</v>
      </c>
      <c r="S88" s="284">
        <f>8/8</f>
        <v>1</v>
      </c>
      <c r="T88" s="300" t="s">
        <v>1073</v>
      </c>
      <c r="U88" s="296">
        <f>(4/4)</f>
        <v>1</v>
      </c>
      <c r="V88" s="301" t="s">
        <v>1074</v>
      </c>
      <c r="W88" s="296">
        <f>(2/2)</f>
        <v>1</v>
      </c>
      <c r="X88" s="302" t="s">
        <v>1075</v>
      </c>
      <c r="Y88" s="296">
        <f>(1/1)</f>
        <v>1</v>
      </c>
      <c r="Z88" s="302" t="s">
        <v>1076</v>
      </c>
      <c r="AA88" s="216">
        <v>0</v>
      </c>
      <c r="AB88" s="28" t="s">
        <v>1077</v>
      </c>
      <c r="AC88" s="303">
        <f>(5/5)</f>
        <v>1</v>
      </c>
      <c r="AD88" s="294" t="s">
        <v>1078</v>
      </c>
      <c r="AE88" s="303">
        <f>(10/10)</f>
        <v>1</v>
      </c>
      <c r="AF88" s="294" t="s">
        <v>1079</v>
      </c>
      <c r="AG88" s="304"/>
      <c r="AH88" s="301"/>
      <c r="AI88" s="304"/>
      <c r="AJ88" s="301"/>
      <c r="AK88" s="304"/>
      <c r="AL88" s="301"/>
      <c r="AM88" s="291">
        <v>1</v>
      </c>
      <c r="AN88" s="291" t="s">
        <v>1080</v>
      </c>
      <c r="AO88" s="299"/>
      <c r="AP88" s="299"/>
      <c r="AQ88" s="305"/>
      <c r="AR88" s="28" t="s">
        <v>1044</v>
      </c>
      <c r="AS88" s="43" t="str">
        <f>IF($AE88&gt;=80%,"RESULTADOS FAVORABLES",IF($AE88&lt;70%,"ACCIÓN CORRECTIVA",IF($AE88&lt;75%,"OPORTUNIDAD DE MEJORA")))</f>
        <v>RESULTADOS FAVORABLES</v>
      </c>
    </row>
    <row r="89" spans="1:45" ht="409.5" x14ac:dyDescent="0.25">
      <c r="A89" s="202" t="s">
        <v>1008</v>
      </c>
      <c r="B89" s="294"/>
      <c r="C89" s="282" t="s">
        <v>1010</v>
      </c>
      <c r="D89" s="14"/>
      <c r="E89" s="14" t="s">
        <v>1012</v>
      </c>
      <c r="F89" s="248" t="s">
        <v>1081</v>
      </c>
      <c r="G89" s="39" t="s">
        <v>1082</v>
      </c>
      <c r="H89" s="251" t="s">
        <v>1083</v>
      </c>
      <c r="I89" s="249" t="s">
        <v>66</v>
      </c>
      <c r="J89" s="249" t="s">
        <v>1084</v>
      </c>
      <c r="K89" s="249" t="s">
        <v>424</v>
      </c>
      <c r="L89" s="249" t="s">
        <v>1017</v>
      </c>
      <c r="M89" s="249" t="s">
        <v>1085</v>
      </c>
      <c r="N89" s="249" t="s">
        <v>1085</v>
      </c>
      <c r="O89" s="306">
        <f>25/25</f>
        <v>1</v>
      </c>
      <c r="P89" s="300" t="s">
        <v>1086</v>
      </c>
      <c r="Q89" s="307">
        <f>28/28</f>
        <v>1</v>
      </c>
      <c r="R89" s="251" t="s">
        <v>1087</v>
      </c>
      <c r="S89" s="306">
        <f>27/27</f>
        <v>1</v>
      </c>
      <c r="T89" s="300" t="s">
        <v>1088</v>
      </c>
      <c r="U89" s="304">
        <f>(1/1)</f>
        <v>1</v>
      </c>
      <c r="V89" s="301" t="s">
        <v>1089</v>
      </c>
      <c r="W89" s="304">
        <f>(1/1)</f>
        <v>1</v>
      </c>
      <c r="X89" s="302" t="s">
        <v>1090</v>
      </c>
      <c r="Y89" s="304">
        <f>(1/1)</f>
        <v>1</v>
      </c>
      <c r="Z89" s="302" t="s">
        <v>1091</v>
      </c>
      <c r="AA89" s="216">
        <f>(3/3)</f>
        <v>1</v>
      </c>
      <c r="AB89" s="28" t="s">
        <v>1092</v>
      </c>
      <c r="AC89" s="216">
        <f>(1/1)</f>
        <v>1</v>
      </c>
      <c r="AD89" s="28" t="s">
        <v>1093</v>
      </c>
      <c r="AE89" s="216">
        <v>0</v>
      </c>
      <c r="AF89" s="28" t="s">
        <v>1094</v>
      </c>
      <c r="AG89" s="304"/>
      <c r="AH89" s="301"/>
      <c r="AI89" s="304"/>
      <c r="AJ89" s="301"/>
      <c r="AK89" s="304"/>
      <c r="AL89" s="301"/>
      <c r="AM89" s="291"/>
      <c r="AN89" s="291" t="s">
        <v>1095</v>
      </c>
      <c r="AO89" s="299"/>
      <c r="AP89" s="299"/>
      <c r="AQ89" s="299"/>
      <c r="AR89" s="28"/>
      <c r="AS89" s="43"/>
    </row>
    <row r="90" spans="1:45" ht="240.75" x14ac:dyDescent="0.25">
      <c r="A90" s="202" t="s">
        <v>1008</v>
      </c>
      <c r="B90" s="53" t="s">
        <v>1096</v>
      </c>
      <c r="C90" s="308" t="s">
        <v>1097</v>
      </c>
      <c r="D90" s="14" t="s">
        <v>1098</v>
      </c>
      <c r="E90" s="131" t="s">
        <v>1099</v>
      </c>
      <c r="F90" s="167" t="s">
        <v>1100</v>
      </c>
      <c r="G90" s="57" t="s">
        <v>1101</v>
      </c>
      <c r="H90" s="251" t="s">
        <v>1102</v>
      </c>
      <c r="I90" s="249" t="s">
        <v>46</v>
      </c>
      <c r="J90" s="309" t="s">
        <v>1103</v>
      </c>
      <c r="K90" s="309" t="s">
        <v>424</v>
      </c>
      <c r="L90" s="171" t="s">
        <v>163</v>
      </c>
      <c r="M90" s="309" t="s">
        <v>50</v>
      </c>
      <c r="N90" s="309" t="s">
        <v>50</v>
      </c>
      <c r="O90" s="310">
        <v>0.97697999999999996</v>
      </c>
      <c r="P90" s="267" t="s">
        <v>1104</v>
      </c>
      <c r="Q90" s="170">
        <v>1</v>
      </c>
      <c r="R90" s="267" t="s">
        <v>1104</v>
      </c>
      <c r="S90" s="170">
        <v>1</v>
      </c>
      <c r="T90" s="267" t="s">
        <v>1105</v>
      </c>
      <c r="U90" s="170">
        <v>1</v>
      </c>
      <c r="V90" s="300" t="s">
        <v>1106</v>
      </c>
      <c r="W90" s="170">
        <v>1</v>
      </c>
      <c r="X90" s="294" t="s">
        <v>1106</v>
      </c>
      <c r="Y90" s="170">
        <v>1</v>
      </c>
      <c r="Z90" s="294" t="s">
        <v>1106</v>
      </c>
      <c r="AA90" s="311">
        <v>1</v>
      </c>
      <c r="AB90" s="312" t="s">
        <v>1107</v>
      </c>
      <c r="AC90" s="310">
        <v>0.96586000000000005</v>
      </c>
      <c r="AD90" s="312" t="s">
        <v>1108</v>
      </c>
      <c r="AE90" s="310">
        <v>0.99780000000000002</v>
      </c>
      <c r="AF90" s="313" t="s">
        <v>1109</v>
      </c>
      <c r="AG90" s="170"/>
      <c r="AH90" s="267"/>
      <c r="AI90" s="170"/>
      <c r="AJ90" s="267"/>
      <c r="AK90" s="170"/>
      <c r="AL90" s="267"/>
      <c r="AM90" s="170">
        <v>0</v>
      </c>
      <c r="AN90" s="171" t="s">
        <v>930</v>
      </c>
      <c r="AO90" s="126"/>
      <c r="AP90" s="126"/>
      <c r="AQ90" s="127"/>
      <c r="AR90" s="42" t="s">
        <v>1110</v>
      </c>
      <c r="AS90" s="43"/>
    </row>
    <row r="91" spans="1:45" ht="255" x14ac:dyDescent="0.25">
      <c r="A91" s="202" t="s">
        <v>1008</v>
      </c>
      <c r="B91" s="294"/>
      <c r="C91" s="247" t="s">
        <v>1097</v>
      </c>
      <c r="D91" s="14"/>
      <c r="E91" s="14" t="s">
        <v>1099</v>
      </c>
      <c r="F91" s="314" t="s">
        <v>1111</v>
      </c>
      <c r="G91" s="39" t="s">
        <v>1112</v>
      </c>
      <c r="H91" s="251" t="s">
        <v>1113</v>
      </c>
      <c r="I91" s="249" t="s">
        <v>46</v>
      </c>
      <c r="J91" s="309" t="s">
        <v>1114</v>
      </c>
      <c r="K91" s="309" t="s">
        <v>1115</v>
      </c>
      <c r="L91" s="171" t="s">
        <v>163</v>
      </c>
      <c r="M91" s="309" t="s">
        <v>1116</v>
      </c>
      <c r="N91" s="309" t="s">
        <v>500</v>
      </c>
      <c r="O91" s="309" t="s">
        <v>1117</v>
      </c>
      <c r="P91" s="267" t="s">
        <v>1118</v>
      </c>
      <c r="Q91" s="309" t="s">
        <v>1117</v>
      </c>
      <c r="R91" s="267" t="s">
        <v>1118</v>
      </c>
      <c r="S91" s="309" t="s">
        <v>1117</v>
      </c>
      <c r="T91" s="267" t="s">
        <v>1118</v>
      </c>
      <c r="U91" s="309"/>
      <c r="V91" s="315"/>
      <c r="W91" s="309"/>
      <c r="X91" s="312"/>
      <c r="Y91" s="316">
        <v>0</v>
      </c>
      <c r="Z91" s="294" t="s">
        <v>1119</v>
      </c>
      <c r="AA91" s="309">
        <v>0</v>
      </c>
      <c r="AB91" s="309"/>
      <c r="AC91" s="309">
        <v>3</v>
      </c>
      <c r="AD91" s="309" t="s">
        <v>1120</v>
      </c>
      <c r="AE91" s="309">
        <v>2</v>
      </c>
      <c r="AF91" s="309" t="s">
        <v>1121</v>
      </c>
      <c r="AG91" s="309"/>
      <c r="AH91" s="267"/>
      <c r="AI91" s="309"/>
      <c r="AJ91" s="267"/>
      <c r="AK91" s="294"/>
      <c r="AL91" s="315"/>
      <c r="AM91" s="170">
        <v>0</v>
      </c>
      <c r="AN91" s="171" t="s">
        <v>930</v>
      </c>
      <c r="AO91" s="126"/>
      <c r="AP91" s="126"/>
      <c r="AQ91" s="126"/>
      <c r="AR91" s="50" t="s">
        <v>1122</v>
      </c>
      <c r="AS91" s="51"/>
    </row>
    <row r="92" spans="1:45" ht="240" x14ac:dyDescent="0.25">
      <c r="A92" s="202" t="s">
        <v>1008</v>
      </c>
      <c r="B92" s="294"/>
      <c r="C92" s="247" t="s">
        <v>1097</v>
      </c>
      <c r="D92" s="14" t="s">
        <v>1123</v>
      </c>
      <c r="E92" s="131" t="s">
        <v>1124</v>
      </c>
      <c r="F92" s="167" t="s">
        <v>1125</v>
      </c>
      <c r="G92" s="57" t="s">
        <v>1126</v>
      </c>
      <c r="H92" s="251" t="s">
        <v>1127</v>
      </c>
      <c r="I92" s="249" t="s">
        <v>46</v>
      </c>
      <c r="J92" s="309" t="s">
        <v>1128</v>
      </c>
      <c r="K92" s="309" t="s">
        <v>424</v>
      </c>
      <c r="L92" s="171" t="s">
        <v>163</v>
      </c>
      <c r="M92" s="309" t="s">
        <v>50</v>
      </c>
      <c r="N92" s="309" t="s">
        <v>50</v>
      </c>
      <c r="O92" s="310">
        <v>0.99829000000000001</v>
      </c>
      <c r="P92" s="146" t="s">
        <v>1129</v>
      </c>
      <c r="Q92" s="317">
        <v>0.99551999999999996</v>
      </c>
      <c r="R92" s="146" t="s">
        <v>1129</v>
      </c>
      <c r="S92" s="317">
        <v>0.99731999999999998</v>
      </c>
      <c r="T92" s="146" t="s">
        <v>1129</v>
      </c>
      <c r="U92" s="310">
        <v>0.99470999999999998</v>
      </c>
      <c r="V92" s="267" t="s">
        <v>1130</v>
      </c>
      <c r="W92" s="310">
        <v>0.98882000000000003</v>
      </c>
      <c r="X92" s="309" t="s">
        <v>1130</v>
      </c>
      <c r="Y92" s="310">
        <v>0.99631999999999998</v>
      </c>
      <c r="Z92" s="309" t="s">
        <v>1130</v>
      </c>
      <c r="AA92" s="310">
        <v>0.99021999999999999</v>
      </c>
      <c r="AB92" s="309" t="s">
        <v>1129</v>
      </c>
      <c r="AC92" s="310">
        <v>0.98907</v>
      </c>
      <c r="AD92" s="309" t="s">
        <v>1131</v>
      </c>
      <c r="AE92" s="310">
        <v>0.98701000000000005</v>
      </c>
      <c r="AF92" s="309" t="s">
        <v>1131</v>
      </c>
      <c r="AG92" s="311"/>
      <c r="AH92" s="267"/>
      <c r="AI92" s="311"/>
      <c r="AJ92" s="267"/>
      <c r="AK92" s="311"/>
      <c r="AL92" s="267"/>
      <c r="AM92" s="170">
        <v>0</v>
      </c>
      <c r="AN92" s="171" t="s">
        <v>930</v>
      </c>
      <c r="AO92" s="126"/>
      <c r="AP92" s="126"/>
      <c r="AQ92" s="127"/>
      <c r="AR92" s="42" t="s">
        <v>1110</v>
      </c>
      <c r="AS92" s="43" t="str">
        <f>IF($AE92&gt;=80%,"RESULTADOS FAVORABLES",IF($AE92&lt;70%,"ACCIÓN CORRECTIVA",IF($AE92&lt;75%,"OPORTUNIDAD DE MEJORA")))</f>
        <v>RESULTADOS FAVORABLES</v>
      </c>
    </row>
    <row r="93" spans="1:45" ht="120" x14ac:dyDescent="0.25">
      <c r="A93" s="202" t="s">
        <v>1008</v>
      </c>
      <c r="B93" s="294"/>
      <c r="C93" s="247" t="s">
        <v>1097</v>
      </c>
      <c r="D93" s="14" t="s">
        <v>1132</v>
      </c>
      <c r="E93" s="131" t="s">
        <v>1124</v>
      </c>
      <c r="F93" s="167" t="s">
        <v>1133</v>
      </c>
      <c r="G93" s="318" t="s">
        <v>1134</v>
      </c>
      <c r="H93" s="146" t="s">
        <v>1135</v>
      </c>
      <c r="I93" s="148" t="s">
        <v>46</v>
      </c>
      <c r="J93" s="148" t="s">
        <v>1136</v>
      </c>
      <c r="K93" s="148" t="s">
        <v>1115</v>
      </c>
      <c r="L93" s="171" t="s">
        <v>163</v>
      </c>
      <c r="M93" s="148" t="s">
        <v>84</v>
      </c>
      <c r="N93" s="148" t="s">
        <v>84</v>
      </c>
      <c r="O93" s="309" t="s">
        <v>149</v>
      </c>
      <c r="P93" s="148" t="s">
        <v>1137</v>
      </c>
      <c r="Q93" s="309" t="s">
        <v>149</v>
      </c>
      <c r="R93" s="148" t="s">
        <v>1137</v>
      </c>
      <c r="S93" s="309">
        <v>0</v>
      </c>
      <c r="T93" s="146" t="s">
        <v>1138</v>
      </c>
      <c r="U93" s="309"/>
      <c r="V93" s="319"/>
      <c r="W93" s="309"/>
      <c r="X93" s="320"/>
      <c r="Y93" s="20">
        <v>0</v>
      </c>
      <c r="Z93" s="320"/>
      <c r="AA93" s="309">
        <v>0</v>
      </c>
      <c r="AB93" s="320"/>
      <c r="AC93" s="309">
        <v>0</v>
      </c>
      <c r="AD93" s="320"/>
      <c r="AE93" s="309">
        <v>1</v>
      </c>
      <c r="AF93" s="265" t="s">
        <v>1139</v>
      </c>
      <c r="AG93" s="309"/>
      <c r="AH93" s="319"/>
      <c r="AI93" s="309"/>
      <c r="AJ93" s="319"/>
      <c r="AK93" s="190"/>
      <c r="AL93" s="146"/>
      <c r="AM93" s="321">
        <v>0</v>
      </c>
      <c r="AN93" s="322" t="s">
        <v>930</v>
      </c>
      <c r="AO93" s="126"/>
      <c r="AP93" s="126"/>
      <c r="AQ93" s="126"/>
      <c r="AR93" s="50" t="s">
        <v>1122</v>
      </c>
      <c r="AS93" s="51"/>
    </row>
    <row r="94" spans="1:45" ht="195" x14ac:dyDescent="0.25">
      <c r="A94" s="202" t="s">
        <v>1008</v>
      </c>
      <c r="B94" s="294"/>
      <c r="C94" s="247" t="s">
        <v>1097</v>
      </c>
      <c r="D94" s="14"/>
      <c r="E94" s="131" t="s">
        <v>1124</v>
      </c>
      <c r="F94" s="167" t="s">
        <v>1140</v>
      </c>
      <c r="G94" s="57" t="s">
        <v>1141</v>
      </c>
      <c r="H94" s="146" t="s">
        <v>1142</v>
      </c>
      <c r="I94" s="148" t="s">
        <v>46</v>
      </c>
      <c r="J94" s="148" t="s">
        <v>1143</v>
      </c>
      <c r="K94" s="148" t="s">
        <v>1115</v>
      </c>
      <c r="L94" s="171" t="s">
        <v>163</v>
      </c>
      <c r="M94" s="148" t="s">
        <v>84</v>
      </c>
      <c r="N94" s="148" t="s">
        <v>84</v>
      </c>
      <c r="O94" s="309" t="s">
        <v>149</v>
      </c>
      <c r="P94" s="148" t="s">
        <v>1137</v>
      </c>
      <c r="Q94" s="309" t="s">
        <v>149</v>
      </c>
      <c r="R94" s="148" t="s">
        <v>1137</v>
      </c>
      <c r="S94" s="309">
        <v>0</v>
      </c>
      <c r="T94" s="146" t="s">
        <v>1138</v>
      </c>
      <c r="U94" s="309"/>
      <c r="V94" s="319"/>
      <c r="W94" s="309"/>
      <c r="X94" s="320"/>
      <c r="Y94" s="20">
        <v>0</v>
      </c>
      <c r="Z94" s="148"/>
      <c r="AA94" s="309" t="s">
        <v>1144</v>
      </c>
      <c r="AB94" s="320"/>
      <c r="AC94" s="309" t="s">
        <v>1144</v>
      </c>
      <c r="AD94" s="320"/>
      <c r="AE94" s="323"/>
      <c r="AF94" s="309" t="s">
        <v>1144</v>
      </c>
      <c r="AG94" s="309"/>
      <c r="AH94" s="319"/>
      <c r="AI94" s="309"/>
      <c r="AJ94" s="319"/>
      <c r="AK94" s="190"/>
      <c r="AL94" s="146"/>
      <c r="AM94" s="321">
        <v>0</v>
      </c>
      <c r="AN94" s="322" t="s">
        <v>930</v>
      </c>
      <c r="AO94" s="180"/>
      <c r="AP94" s="126"/>
      <c r="AQ94" s="126"/>
      <c r="AR94" s="28" t="s">
        <v>1145</v>
      </c>
      <c r="AS94" s="51" t="str">
        <f>IF($Y94&gt;=25%,"RESULTADOS FAVORABLES",IF($Y94&lt;12.5%,"ACCIÓN CORRECTIVA",IF($Y94&lt;24%,"OPORTUNIDAD DE MEJORA")))</f>
        <v>ACCIÓN CORRECTIVA</v>
      </c>
    </row>
    <row r="95" spans="1:45" ht="180" x14ac:dyDescent="0.25">
      <c r="A95" s="128" t="s">
        <v>1008</v>
      </c>
      <c r="B95" s="265"/>
      <c r="C95" s="130" t="s">
        <v>1097</v>
      </c>
      <c r="D95" s="131" t="s">
        <v>1146</v>
      </c>
      <c r="E95" s="131" t="s">
        <v>1147</v>
      </c>
      <c r="F95" s="167" t="s">
        <v>1148</v>
      </c>
      <c r="G95" s="57" t="s">
        <v>1149</v>
      </c>
      <c r="H95" s="146" t="s">
        <v>1150</v>
      </c>
      <c r="I95" s="148" t="s">
        <v>46</v>
      </c>
      <c r="J95" s="148" t="s">
        <v>1151</v>
      </c>
      <c r="K95" s="148" t="s">
        <v>1115</v>
      </c>
      <c r="L95" s="171" t="s">
        <v>163</v>
      </c>
      <c r="M95" s="309" t="s">
        <v>1116</v>
      </c>
      <c r="N95" s="309" t="s">
        <v>500</v>
      </c>
      <c r="O95" s="294" t="s">
        <v>149</v>
      </c>
      <c r="P95" s="294" t="s">
        <v>501</v>
      </c>
      <c r="Q95" s="294" t="s">
        <v>149</v>
      </c>
      <c r="R95" s="294" t="s">
        <v>501</v>
      </c>
      <c r="S95" s="294" t="s">
        <v>149</v>
      </c>
      <c r="T95" s="294" t="s">
        <v>501</v>
      </c>
      <c r="U95" s="294" t="s">
        <v>149</v>
      </c>
      <c r="V95" s="294" t="s">
        <v>501</v>
      </c>
      <c r="W95" s="294" t="s">
        <v>149</v>
      </c>
      <c r="X95" s="294" t="s">
        <v>501</v>
      </c>
      <c r="Y95" s="324">
        <v>0</v>
      </c>
      <c r="Z95" s="265" t="s">
        <v>1152</v>
      </c>
      <c r="AA95" s="294" t="s">
        <v>149</v>
      </c>
      <c r="AB95" s="294" t="s">
        <v>501</v>
      </c>
      <c r="AC95" s="294" t="s">
        <v>149</v>
      </c>
      <c r="AD95" s="294" t="s">
        <v>501</v>
      </c>
      <c r="AE95" s="294" t="s">
        <v>149</v>
      </c>
      <c r="AF95" s="294" t="s">
        <v>501</v>
      </c>
      <c r="AG95" s="309"/>
      <c r="AH95" s="267"/>
      <c r="AI95" s="309"/>
      <c r="AJ95" s="267"/>
      <c r="AK95" s="265"/>
      <c r="AL95" s="319"/>
      <c r="AM95" s="321">
        <v>0</v>
      </c>
      <c r="AN95" s="322" t="s">
        <v>930</v>
      </c>
      <c r="AO95" s="126"/>
      <c r="AP95" s="126"/>
      <c r="AQ95" s="126"/>
      <c r="AR95" s="28"/>
      <c r="AS95" s="50" t="s">
        <v>503</v>
      </c>
    </row>
    <row r="96" spans="1:45" ht="330" x14ac:dyDescent="0.25">
      <c r="A96" s="202" t="s">
        <v>1008</v>
      </c>
      <c r="B96" s="300"/>
      <c r="C96" s="247" t="s">
        <v>1097</v>
      </c>
      <c r="D96" s="14" t="s">
        <v>1153</v>
      </c>
      <c r="E96" s="131" t="s">
        <v>1154</v>
      </c>
      <c r="F96" s="167" t="s">
        <v>1155</v>
      </c>
      <c r="G96" s="57" t="s">
        <v>1156</v>
      </c>
      <c r="H96" s="251" t="s">
        <v>1157</v>
      </c>
      <c r="I96" s="249" t="s">
        <v>46</v>
      </c>
      <c r="J96" s="249" t="s">
        <v>1158</v>
      </c>
      <c r="K96" s="309" t="s">
        <v>424</v>
      </c>
      <c r="L96" s="171" t="s">
        <v>163</v>
      </c>
      <c r="M96" s="309" t="s">
        <v>1116</v>
      </c>
      <c r="N96" s="309" t="s">
        <v>500</v>
      </c>
      <c r="O96" s="294" t="s">
        <v>149</v>
      </c>
      <c r="P96" s="294" t="s">
        <v>501</v>
      </c>
      <c r="Q96" s="294" t="s">
        <v>149</v>
      </c>
      <c r="R96" s="294" t="s">
        <v>501</v>
      </c>
      <c r="S96" s="294" t="s">
        <v>149</v>
      </c>
      <c r="T96" s="294" t="s">
        <v>501</v>
      </c>
      <c r="U96" s="294" t="s">
        <v>149</v>
      </c>
      <c r="V96" s="294" t="s">
        <v>501</v>
      </c>
      <c r="W96" s="294" t="s">
        <v>149</v>
      </c>
      <c r="X96" s="294" t="s">
        <v>501</v>
      </c>
      <c r="Y96" s="325">
        <v>0.98</v>
      </c>
      <c r="Z96" s="294" t="s">
        <v>1159</v>
      </c>
      <c r="AA96" s="294" t="s">
        <v>149</v>
      </c>
      <c r="AB96" s="294" t="s">
        <v>501</v>
      </c>
      <c r="AC96" s="294" t="s">
        <v>149</v>
      </c>
      <c r="AD96" s="294" t="s">
        <v>501</v>
      </c>
      <c r="AE96" s="294" t="s">
        <v>149</v>
      </c>
      <c r="AF96" s="294" t="s">
        <v>501</v>
      </c>
      <c r="AG96" s="315"/>
      <c r="AH96" s="315"/>
      <c r="AI96" s="315"/>
      <c r="AJ96" s="315"/>
      <c r="AK96" s="211"/>
      <c r="AL96" s="146"/>
      <c r="AM96" s="170">
        <v>0</v>
      </c>
      <c r="AN96" s="171" t="s">
        <v>930</v>
      </c>
      <c r="AO96" s="126"/>
      <c r="AP96" s="126"/>
      <c r="AQ96" s="126"/>
      <c r="AR96" s="50"/>
      <c r="AS96" s="50" t="s">
        <v>503</v>
      </c>
    </row>
    <row r="97" spans="1:45" ht="285" x14ac:dyDescent="0.25">
      <c r="A97" s="202" t="s">
        <v>1008</v>
      </c>
      <c r="B97" s="300"/>
      <c r="C97" s="247" t="s">
        <v>1097</v>
      </c>
      <c r="D97" s="14"/>
      <c r="E97" s="131" t="s">
        <v>1160</v>
      </c>
      <c r="F97" s="167" t="s">
        <v>1161</v>
      </c>
      <c r="G97" s="57" t="s">
        <v>1162</v>
      </c>
      <c r="H97" s="251" t="s">
        <v>1163</v>
      </c>
      <c r="I97" s="249" t="s">
        <v>66</v>
      </c>
      <c r="J97" s="249" t="s">
        <v>1164</v>
      </c>
      <c r="K97" s="309" t="s">
        <v>424</v>
      </c>
      <c r="L97" s="171" t="s">
        <v>163</v>
      </c>
      <c r="M97" s="309" t="s">
        <v>1116</v>
      </c>
      <c r="N97" s="309" t="s">
        <v>500</v>
      </c>
      <c r="O97" s="294" t="s">
        <v>149</v>
      </c>
      <c r="P97" s="294" t="s">
        <v>501</v>
      </c>
      <c r="Q97" s="294" t="s">
        <v>149</v>
      </c>
      <c r="R97" s="294" t="s">
        <v>501</v>
      </c>
      <c r="S97" s="294" t="s">
        <v>149</v>
      </c>
      <c r="T97" s="294" t="s">
        <v>501</v>
      </c>
      <c r="U97" s="294" t="s">
        <v>149</v>
      </c>
      <c r="V97" s="294" t="s">
        <v>501</v>
      </c>
      <c r="W97" s="294" t="s">
        <v>149</v>
      </c>
      <c r="X97" s="294" t="s">
        <v>501</v>
      </c>
      <c r="Y97" s="298">
        <v>0.98</v>
      </c>
      <c r="Z97" s="294" t="s">
        <v>1165</v>
      </c>
      <c r="AA97" s="294" t="s">
        <v>149</v>
      </c>
      <c r="AB97" s="294" t="s">
        <v>501</v>
      </c>
      <c r="AC97" s="294" t="s">
        <v>149</v>
      </c>
      <c r="AD97" s="294" t="s">
        <v>501</v>
      </c>
      <c r="AE97" s="294" t="s">
        <v>149</v>
      </c>
      <c r="AF97" s="294" t="s">
        <v>501</v>
      </c>
      <c r="AG97" s="251"/>
      <c r="AH97" s="251"/>
      <c r="AI97" s="251"/>
      <c r="AJ97" s="251"/>
      <c r="AK97" s="20"/>
      <c r="AL97" s="146"/>
      <c r="AM97" s="170">
        <v>0</v>
      </c>
      <c r="AN97" s="171" t="s">
        <v>930</v>
      </c>
      <c r="AO97" s="126"/>
      <c r="AP97" s="126"/>
      <c r="AQ97" s="126"/>
      <c r="AR97" s="50"/>
      <c r="AS97" s="50" t="s">
        <v>503</v>
      </c>
    </row>
    <row r="98" spans="1:45" ht="195" x14ac:dyDescent="0.25">
      <c r="A98" s="202" t="s">
        <v>1008</v>
      </c>
      <c r="B98" s="53" t="s">
        <v>1166</v>
      </c>
      <c r="C98" s="247" t="s">
        <v>1167</v>
      </c>
      <c r="D98" s="14" t="s">
        <v>1168</v>
      </c>
      <c r="E98" s="14" t="s">
        <v>1169</v>
      </c>
      <c r="F98" s="248" t="s">
        <v>1170</v>
      </c>
      <c r="G98" s="16" t="s">
        <v>1171</v>
      </c>
      <c r="H98" s="16" t="s">
        <v>1172</v>
      </c>
      <c r="I98" s="17" t="s">
        <v>46</v>
      </c>
      <c r="J98" s="17" t="s">
        <v>1173</v>
      </c>
      <c r="K98" s="309" t="s">
        <v>424</v>
      </c>
      <c r="L98" s="17" t="s">
        <v>1174</v>
      </c>
      <c r="M98" s="18" t="s">
        <v>50</v>
      </c>
      <c r="N98" s="18" t="s">
        <v>50</v>
      </c>
      <c r="O98" s="19">
        <f>17296588/2573428142</f>
        <v>6.7212243923615257E-3</v>
      </c>
      <c r="P98" s="20" t="s">
        <v>1175</v>
      </c>
      <c r="Q98" s="186">
        <f>19443770/2366626819</f>
        <v>8.2158157948264178E-3</v>
      </c>
      <c r="R98" s="20" t="s">
        <v>1176</v>
      </c>
      <c r="S98" s="186">
        <f>8079325/2234588239</f>
        <v>3.6155766234657965E-3</v>
      </c>
      <c r="T98" s="20" t="s">
        <v>1177</v>
      </c>
      <c r="U98" s="48">
        <f>9692139/3107636255</f>
        <v>3.1188138522988107E-3</v>
      </c>
      <c r="V98" s="17" t="s">
        <v>1178</v>
      </c>
      <c r="W98" s="283">
        <f>2288418/2852488331</f>
        <v>8.0225323803436799E-4</v>
      </c>
      <c r="X98" s="17" t="s">
        <v>1179</v>
      </c>
      <c r="Y98" s="48">
        <f>20140976/3203689268</f>
        <v>6.2868069638269304E-3</v>
      </c>
      <c r="Z98" s="17" t="s">
        <v>1180</v>
      </c>
      <c r="AA98" s="124">
        <f>28727856/2931793114</f>
        <v>9.7987323398836517E-3</v>
      </c>
      <c r="AB98" s="17" t="s">
        <v>1181</v>
      </c>
      <c r="AC98" s="124">
        <f>22728408/3078861278</f>
        <v>7.3820825129101517E-3</v>
      </c>
      <c r="AD98" s="17" t="s">
        <v>1182</v>
      </c>
      <c r="AE98" s="124">
        <f>23858485/4589139558</f>
        <v>5.1989016020244552E-3</v>
      </c>
      <c r="AF98" s="17" t="s">
        <v>1183</v>
      </c>
      <c r="AG98" s="326"/>
      <c r="AH98" s="125"/>
      <c r="AI98" s="326"/>
      <c r="AJ98" s="125"/>
      <c r="AK98" s="326"/>
      <c r="AL98" s="125"/>
      <c r="AM98" s="18" t="s">
        <v>60</v>
      </c>
      <c r="AN98" s="18" t="s">
        <v>61</v>
      </c>
      <c r="AO98" s="126"/>
      <c r="AP98" s="126"/>
      <c r="AQ98" s="127"/>
      <c r="AR98" s="50" t="s">
        <v>367</v>
      </c>
      <c r="AS98" s="43" t="str">
        <f>+[1]Hoja1!$AG$11</f>
        <v>RESULTADOS FAVORABLES</v>
      </c>
    </row>
    <row r="99" spans="1:45" ht="330" x14ac:dyDescent="0.25">
      <c r="A99" s="202" t="s">
        <v>1008</v>
      </c>
      <c r="B99" s="423"/>
      <c r="C99" s="247" t="s">
        <v>1167</v>
      </c>
      <c r="D99" s="14"/>
      <c r="E99" s="14" t="s">
        <v>1169</v>
      </c>
      <c r="F99" s="248" t="s">
        <v>1184</v>
      </c>
      <c r="G99" s="39" t="s">
        <v>1185</v>
      </c>
      <c r="H99" s="251" t="s">
        <v>1186</v>
      </c>
      <c r="I99" s="249" t="s">
        <v>66</v>
      </c>
      <c r="J99" s="294" t="s">
        <v>1187</v>
      </c>
      <c r="K99" s="309" t="s">
        <v>424</v>
      </c>
      <c r="L99" s="17" t="s">
        <v>1174</v>
      </c>
      <c r="M99" s="18" t="s">
        <v>500</v>
      </c>
      <c r="N99" s="18" t="s">
        <v>500</v>
      </c>
      <c r="O99" s="171" t="s">
        <v>149</v>
      </c>
      <c r="P99" s="42" t="s">
        <v>501</v>
      </c>
      <c r="Q99" s="171" t="s">
        <v>149</v>
      </c>
      <c r="R99" s="42" t="s">
        <v>501</v>
      </c>
      <c r="S99" s="171" t="s">
        <v>149</v>
      </c>
      <c r="T99" s="327" t="s">
        <v>501</v>
      </c>
      <c r="U99" s="171" t="s">
        <v>149</v>
      </c>
      <c r="V99" s="327" t="s">
        <v>501</v>
      </c>
      <c r="W99" s="171" t="s">
        <v>149</v>
      </c>
      <c r="X99" s="42" t="s">
        <v>501</v>
      </c>
      <c r="Y99" s="20">
        <f>(1)*100%</f>
        <v>1</v>
      </c>
      <c r="Z99" s="42" t="s">
        <v>1188</v>
      </c>
      <c r="AA99" s="171" t="s">
        <v>149</v>
      </c>
      <c r="AB99" s="42" t="s">
        <v>501</v>
      </c>
      <c r="AC99" s="171" t="s">
        <v>149</v>
      </c>
      <c r="AD99" s="42" t="s">
        <v>501</v>
      </c>
      <c r="AE99" s="171" t="s">
        <v>149</v>
      </c>
      <c r="AF99" s="42" t="s">
        <v>501</v>
      </c>
      <c r="AG99" s="328"/>
      <c r="AH99" s="329"/>
      <c r="AI99" s="328"/>
      <c r="AJ99" s="329"/>
      <c r="AK99" s="198"/>
      <c r="AL99" s="312"/>
      <c r="AM99" s="34">
        <v>0</v>
      </c>
      <c r="AN99" s="34">
        <v>1</v>
      </c>
      <c r="AO99" s="126"/>
      <c r="AP99" s="126"/>
      <c r="AQ99" s="126"/>
      <c r="AR99" s="42"/>
      <c r="AS99" s="50" t="s">
        <v>503</v>
      </c>
    </row>
    <row r="100" spans="1:45" ht="300" x14ac:dyDescent="0.25">
      <c r="A100" s="202" t="s">
        <v>1008</v>
      </c>
      <c r="B100" s="423"/>
      <c r="C100" s="247" t="s">
        <v>1167</v>
      </c>
      <c r="D100" s="14"/>
      <c r="E100" s="14" t="s">
        <v>1169</v>
      </c>
      <c r="F100" s="248" t="s">
        <v>1189</v>
      </c>
      <c r="G100" s="39" t="s">
        <v>1190</v>
      </c>
      <c r="H100" s="251" t="s">
        <v>1191</v>
      </c>
      <c r="I100" s="249" t="s">
        <v>66</v>
      </c>
      <c r="J100" s="294" t="s">
        <v>1192</v>
      </c>
      <c r="K100" s="309" t="s">
        <v>424</v>
      </c>
      <c r="L100" s="17" t="s">
        <v>1174</v>
      </c>
      <c r="M100" s="18" t="s">
        <v>500</v>
      </c>
      <c r="N100" s="18" t="s">
        <v>500</v>
      </c>
      <c r="O100" s="171" t="s">
        <v>149</v>
      </c>
      <c r="P100" s="42" t="s">
        <v>501</v>
      </c>
      <c r="Q100" s="171" t="s">
        <v>149</v>
      </c>
      <c r="R100" s="42" t="s">
        <v>501</v>
      </c>
      <c r="S100" s="171" t="s">
        <v>149</v>
      </c>
      <c r="T100" s="327" t="s">
        <v>501</v>
      </c>
      <c r="U100" s="171" t="s">
        <v>149</v>
      </c>
      <c r="V100" s="327" t="s">
        <v>501</v>
      </c>
      <c r="W100" s="171" t="s">
        <v>149</v>
      </c>
      <c r="X100" s="42" t="s">
        <v>501</v>
      </c>
      <c r="Y100" s="20">
        <f>(4/7)</f>
        <v>0.5714285714285714</v>
      </c>
      <c r="Z100" s="42" t="s">
        <v>1193</v>
      </c>
      <c r="AA100" s="171" t="s">
        <v>149</v>
      </c>
      <c r="AB100" s="42" t="s">
        <v>501</v>
      </c>
      <c r="AC100" s="171" t="s">
        <v>149</v>
      </c>
      <c r="AD100" s="42" t="s">
        <v>501</v>
      </c>
      <c r="AE100" s="171" t="s">
        <v>149</v>
      </c>
      <c r="AF100" s="42" t="s">
        <v>501</v>
      </c>
      <c r="AG100" s="328"/>
      <c r="AH100" s="329"/>
      <c r="AI100" s="328"/>
      <c r="AJ100" s="329"/>
      <c r="AK100" s="303"/>
      <c r="AL100" s="294"/>
      <c r="AM100" s="27" t="s">
        <v>60</v>
      </c>
      <c r="AN100" s="34">
        <v>1</v>
      </c>
      <c r="AO100" s="126"/>
      <c r="AP100" s="126"/>
      <c r="AQ100" s="126"/>
      <c r="AR100" s="42"/>
      <c r="AS100" s="50" t="s">
        <v>503</v>
      </c>
    </row>
    <row r="101" spans="1:45" ht="210" x14ac:dyDescent="0.25">
      <c r="A101" s="202" t="s">
        <v>1008</v>
      </c>
      <c r="B101" s="423"/>
      <c r="C101" s="247" t="s">
        <v>1167</v>
      </c>
      <c r="D101" s="14"/>
      <c r="E101" s="14" t="s">
        <v>1169</v>
      </c>
      <c r="F101" s="248" t="s">
        <v>1194</v>
      </c>
      <c r="G101" s="300" t="s">
        <v>1195</v>
      </c>
      <c r="H101" s="251" t="s">
        <v>1196</v>
      </c>
      <c r="I101" s="249" t="s">
        <v>66</v>
      </c>
      <c r="J101" s="294" t="s">
        <v>1197</v>
      </c>
      <c r="K101" s="309" t="s">
        <v>424</v>
      </c>
      <c r="L101" s="17" t="s">
        <v>1174</v>
      </c>
      <c r="M101" s="18" t="s">
        <v>500</v>
      </c>
      <c r="N101" s="18" t="s">
        <v>500</v>
      </c>
      <c r="O101" s="171" t="s">
        <v>149</v>
      </c>
      <c r="P101" s="42" t="s">
        <v>501</v>
      </c>
      <c r="Q101" s="171" t="s">
        <v>149</v>
      </c>
      <c r="R101" s="42" t="s">
        <v>501</v>
      </c>
      <c r="S101" s="171" t="s">
        <v>149</v>
      </c>
      <c r="T101" s="327" t="s">
        <v>501</v>
      </c>
      <c r="U101" s="171" t="s">
        <v>149</v>
      </c>
      <c r="V101" s="327" t="s">
        <v>501</v>
      </c>
      <c r="W101" s="171" t="s">
        <v>149</v>
      </c>
      <c r="X101" s="42" t="s">
        <v>501</v>
      </c>
      <c r="Y101" s="20">
        <f>(1)*100%</f>
        <v>1</v>
      </c>
      <c r="Z101" s="42" t="s">
        <v>1198</v>
      </c>
      <c r="AA101" s="171" t="s">
        <v>149</v>
      </c>
      <c r="AB101" s="42" t="s">
        <v>501</v>
      </c>
      <c r="AC101" s="171" t="s">
        <v>149</v>
      </c>
      <c r="AD101" s="42" t="s">
        <v>501</v>
      </c>
      <c r="AE101" s="171" t="s">
        <v>149</v>
      </c>
      <c r="AF101" s="42" t="s">
        <v>501</v>
      </c>
      <c r="AG101" s="328"/>
      <c r="AH101" s="329"/>
      <c r="AI101" s="328"/>
      <c r="AJ101" s="329"/>
      <c r="AK101" s="328"/>
      <c r="AL101" s="329"/>
      <c r="AM101" s="34">
        <v>0</v>
      </c>
      <c r="AN101" s="34">
        <v>1</v>
      </c>
      <c r="AO101" s="126"/>
      <c r="AP101" s="126"/>
      <c r="AQ101" s="126"/>
      <c r="AR101" s="42"/>
      <c r="AS101" s="50" t="s">
        <v>503</v>
      </c>
    </row>
    <row r="102" spans="1:45" ht="15.75" x14ac:dyDescent="0.25">
      <c r="A102" s="330"/>
      <c r="B102" s="331"/>
      <c r="C102" s="332"/>
      <c r="D102" s="333"/>
      <c r="E102" s="333"/>
      <c r="F102" s="334"/>
      <c r="G102" s="335"/>
      <c r="H102" s="336"/>
      <c r="I102" s="337"/>
      <c r="J102" s="338"/>
      <c r="K102" s="339"/>
      <c r="L102" s="337"/>
      <c r="M102" s="340"/>
      <c r="N102" s="340"/>
      <c r="O102" s="341"/>
      <c r="P102" s="342"/>
      <c r="Q102" s="341"/>
      <c r="R102" s="341"/>
      <c r="S102" s="341"/>
      <c r="T102" s="343"/>
      <c r="U102" s="334"/>
      <c r="V102" s="343"/>
      <c r="W102" s="344"/>
      <c r="X102" s="334"/>
      <c r="Y102" s="344"/>
      <c r="Z102" s="334"/>
      <c r="AA102" s="344"/>
      <c r="AB102" s="334"/>
      <c r="AC102" s="344"/>
      <c r="AD102" s="334"/>
      <c r="AE102" s="334"/>
      <c r="AF102" s="334"/>
      <c r="AG102" s="344"/>
      <c r="AH102" s="343"/>
      <c r="AI102" s="344"/>
      <c r="AJ102" s="343"/>
      <c r="AK102" s="344"/>
      <c r="AL102" s="343"/>
      <c r="AM102" s="334"/>
      <c r="AN102" s="334"/>
      <c r="AO102" s="344"/>
      <c r="AP102" s="344"/>
      <c r="AQ102" s="344"/>
      <c r="AR102" s="377"/>
      <c r="AS102" s="345"/>
    </row>
    <row r="103" spans="1:45" ht="15.75" x14ac:dyDescent="0.25">
      <c r="A103" s="346"/>
      <c r="B103" s="347"/>
      <c r="C103" s="348"/>
      <c r="D103" s="349"/>
      <c r="E103" s="350"/>
      <c r="F103" s="349"/>
      <c r="G103" s="351"/>
      <c r="H103" s="351"/>
      <c r="I103" s="352"/>
      <c r="J103" s="353"/>
      <c r="K103" s="347"/>
      <c r="L103" s="354"/>
      <c r="M103" s="352"/>
      <c r="N103" s="352"/>
      <c r="O103" s="352"/>
      <c r="P103" s="347"/>
      <c r="Q103" s="352"/>
      <c r="R103" s="352"/>
      <c r="S103" s="352"/>
      <c r="T103" s="351"/>
      <c r="U103" s="347"/>
      <c r="V103" s="351"/>
      <c r="W103" s="349"/>
      <c r="X103" s="347"/>
      <c r="Y103" s="349"/>
      <c r="Z103" s="347"/>
      <c r="AA103" s="349"/>
      <c r="AB103" s="347"/>
      <c r="AC103" s="349"/>
      <c r="AD103" s="347"/>
      <c r="AE103" s="347"/>
      <c r="AF103" s="347"/>
      <c r="AG103" s="349"/>
      <c r="AH103" s="351"/>
      <c r="AI103" s="349"/>
      <c r="AJ103" s="351"/>
      <c r="AK103" s="349"/>
      <c r="AL103" s="351"/>
      <c r="AM103" s="347"/>
      <c r="AN103" s="347"/>
      <c r="AO103" s="349"/>
      <c r="AP103" s="349"/>
      <c r="AQ103" s="349"/>
      <c r="AR103" s="347"/>
      <c r="AS103" s="352"/>
    </row>
    <row r="104" spans="1:45" ht="15.75" x14ac:dyDescent="0.25">
      <c r="A104" s="348"/>
      <c r="B104" s="347"/>
      <c r="C104" s="348"/>
      <c r="D104" s="349"/>
      <c r="E104" s="350"/>
      <c r="F104" s="349"/>
      <c r="G104" s="351"/>
      <c r="H104" s="351"/>
      <c r="I104" s="352"/>
      <c r="J104" s="353"/>
      <c r="K104" s="347"/>
      <c r="L104" s="354"/>
      <c r="M104" s="352"/>
      <c r="N104" s="352"/>
      <c r="O104" s="352"/>
      <c r="P104" s="347"/>
      <c r="Q104" s="352"/>
      <c r="R104" s="352"/>
      <c r="S104" s="352"/>
      <c r="T104" s="351"/>
      <c r="U104" s="347"/>
      <c r="V104" s="351"/>
      <c r="W104" s="349"/>
      <c r="X104" s="347"/>
      <c r="Y104" s="349"/>
      <c r="Z104" s="347"/>
      <c r="AA104" s="349"/>
      <c r="AB104" s="347"/>
      <c r="AC104" s="349"/>
      <c r="AD104" s="347"/>
      <c r="AE104" s="347"/>
      <c r="AF104" s="347"/>
      <c r="AG104" s="349"/>
      <c r="AH104" s="351"/>
      <c r="AI104" s="349"/>
      <c r="AJ104" s="351"/>
      <c r="AK104" s="349"/>
      <c r="AL104" s="351"/>
      <c r="AM104" s="347"/>
      <c r="AN104" s="347"/>
      <c r="AO104" s="349"/>
      <c r="AP104" s="349"/>
      <c r="AQ104" s="349"/>
      <c r="AR104" s="347"/>
      <c r="AS104" s="352"/>
    </row>
    <row r="105" spans="1:45" ht="15.75" x14ac:dyDescent="0.25">
      <c r="A105" s="348"/>
      <c r="B105" s="347"/>
      <c r="C105" s="348"/>
      <c r="D105" s="349"/>
      <c r="E105" s="350"/>
      <c r="F105" s="349"/>
      <c r="G105" s="351"/>
      <c r="H105" s="351"/>
      <c r="I105" s="352"/>
      <c r="J105" s="353"/>
      <c r="K105" s="347"/>
      <c r="L105" s="354"/>
      <c r="M105" s="352"/>
      <c r="N105" s="352"/>
      <c r="O105" s="352"/>
      <c r="P105" s="347"/>
      <c r="Q105" s="352"/>
      <c r="R105" s="352"/>
      <c r="S105" s="352"/>
      <c r="T105" s="351"/>
      <c r="U105" s="347"/>
      <c r="V105" s="351"/>
      <c r="W105" s="349"/>
      <c r="X105" s="347"/>
      <c r="Y105" s="349"/>
      <c r="Z105" s="347"/>
      <c r="AA105" s="349"/>
      <c r="AB105" s="347"/>
      <c r="AC105" s="349"/>
      <c r="AD105" s="347"/>
      <c r="AE105" s="347"/>
      <c r="AF105" s="347"/>
      <c r="AG105" s="349"/>
      <c r="AH105" s="351"/>
      <c r="AI105" s="349"/>
      <c r="AJ105" s="351"/>
      <c r="AK105" s="349"/>
      <c r="AL105" s="351"/>
      <c r="AM105" s="347"/>
      <c r="AN105" s="352"/>
      <c r="AO105" s="349"/>
      <c r="AP105" s="349"/>
      <c r="AQ105" s="349"/>
      <c r="AR105" s="347"/>
      <c r="AS105" s="352"/>
    </row>
    <row r="106" spans="1:45" ht="15.75" x14ac:dyDescent="0.25">
      <c r="A106" s="348"/>
      <c r="B106" s="347"/>
      <c r="C106" s="348"/>
      <c r="D106" s="349"/>
      <c r="E106" s="350"/>
      <c r="F106" s="349"/>
      <c r="G106" s="351"/>
      <c r="H106" s="351"/>
      <c r="I106" s="352"/>
      <c r="J106" s="353"/>
      <c r="K106" s="347"/>
      <c r="L106" s="354"/>
      <c r="M106" s="352"/>
      <c r="N106" s="352"/>
      <c r="O106" s="352"/>
      <c r="P106" s="347"/>
      <c r="Q106" s="352"/>
      <c r="R106" s="352"/>
      <c r="S106" s="352"/>
      <c r="T106" s="351"/>
      <c r="U106" s="347"/>
      <c r="V106" s="351"/>
      <c r="W106" s="349"/>
      <c r="X106" s="347"/>
      <c r="Y106" s="349"/>
      <c r="Z106" s="347"/>
      <c r="AA106" s="349"/>
      <c r="AB106" s="347"/>
      <c r="AC106" s="349"/>
      <c r="AD106" s="347"/>
      <c r="AE106" s="347"/>
      <c r="AF106" s="347"/>
      <c r="AG106" s="349"/>
      <c r="AH106" s="351"/>
      <c r="AI106" s="349"/>
      <c r="AJ106" s="351"/>
      <c r="AK106" s="349"/>
      <c r="AL106" s="351"/>
      <c r="AM106" s="352"/>
      <c r="AN106" s="352"/>
      <c r="AO106" s="349"/>
      <c r="AP106" s="349"/>
      <c r="AQ106" s="349"/>
      <c r="AR106" s="347"/>
      <c r="AS106" s="352"/>
    </row>
    <row r="107" spans="1:45" ht="15.75" x14ac:dyDescent="0.25">
      <c r="A107" s="348"/>
      <c r="B107" s="347"/>
      <c r="C107" s="355">
        <f>10/16</f>
        <v>0.625</v>
      </c>
      <c r="D107" s="349"/>
      <c r="E107" s="350"/>
      <c r="F107" s="349"/>
      <c r="G107" s="351"/>
      <c r="H107" s="351"/>
      <c r="I107" s="352"/>
      <c r="J107" s="353"/>
      <c r="K107" s="347"/>
      <c r="L107" s="354"/>
      <c r="M107" s="352"/>
      <c r="N107" s="352"/>
      <c r="O107" s="352"/>
      <c r="P107" s="347"/>
      <c r="Q107" s="352"/>
      <c r="R107" s="352"/>
      <c r="S107" s="352"/>
      <c r="T107" s="351"/>
      <c r="U107" s="347"/>
      <c r="V107" s="351"/>
      <c r="W107" s="349"/>
      <c r="X107" s="347"/>
      <c r="Y107" s="349"/>
      <c r="Z107" s="347"/>
      <c r="AA107" s="349"/>
      <c r="AB107" s="347"/>
      <c r="AC107" s="349"/>
      <c r="AD107" s="347"/>
      <c r="AE107" s="347"/>
      <c r="AF107" s="347"/>
      <c r="AG107" s="349"/>
      <c r="AH107" s="351"/>
      <c r="AI107" s="349"/>
      <c r="AJ107" s="351"/>
      <c r="AK107" s="349"/>
      <c r="AL107" s="351"/>
      <c r="AM107" s="352"/>
      <c r="AN107" s="352"/>
      <c r="AO107" s="349"/>
      <c r="AP107" s="349"/>
      <c r="AQ107" s="349"/>
      <c r="AR107" s="347"/>
      <c r="AS107" s="352"/>
    </row>
  </sheetData>
  <autoFilter ref="A4:AS101"/>
  <mergeCells count="34">
    <mergeCell ref="B81:B83"/>
    <mergeCell ref="B99:B101"/>
    <mergeCell ref="B1:AH2"/>
    <mergeCell ref="V61:V62"/>
    <mergeCell ref="X61:X62"/>
    <mergeCell ref="Z61:Z62"/>
    <mergeCell ref="AB61:AB62"/>
    <mergeCell ref="AD61:AD62"/>
    <mergeCell ref="AF61:AF62"/>
    <mergeCell ref="L61:L62"/>
    <mergeCell ref="M61:M62"/>
    <mergeCell ref="N61:N62"/>
    <mergeCell ref="P61:P62"/>
    <mergeCell ref="R61:R62"/>
    <mergeCell ref="T61:T62"/>
    <mergeCell ref="E61:E62"/>
    <mergeCell ref="F61:F62"/>
    <mergeCell ref="G61:G62"/>
    <mergeCell ref="H61:H62"/>
    <mergeCell ref="I61:I62"/>
    <mergeCell ref="K61:K62"/>
    <mergeCell ref="B12:B18"/>
    <mergeCell ref="D27:D28"/>
    <mergeCell ref="B35:B50"/>
    <mergeCell ref="A61:A62"/>
    <mergeCell ref="B61:B62"/>
    <mergeCell ref="C61:C62"/>
    <mergeCell ref="D61:D62"/>
    <mergeCell ref="A1:A3"/>
    <mergeCell ref="B3:AG3"/>
    <mergeCell ref="AI3:AN3"/>
    <mergeCell ref="AI1:AS1"/>
    <mergeCell ref="AI2:AS2"/>
    <mergeCell ref="AO3:AS3"/>
  </mergeCells>
  <hyperlinks>
    <hyperlink ref="U29" location="'ESF ABR 2019'!L22" display="'ESF ABR 2019'!L22"/>
    <hyperlink ref="U30" location="'ESF ABR 2019'!L28" display="'ESF ABR 2019'!L28"/>
    <hyperlink ref="U31" location="'ESF ABR 2019'!L33" display="'ESF ABR 2019'!L33"/>
    <hyperlink ref="W29" location="'ESF MAY 2019'!M17" display="'ESF MAY 2019'!M17"/>
    <hyperlink ref="W30" location="'ESF MAY 2019'!M23" display="'ESF MAY 2019'!M23"/>
    <hyperlink ref="W31" location="'ESF MAY 2019'!M28" display="'ESF MAY 2019'!M28"/>
  </hyperlink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17"/>
  <sheetViews>
    <sheetView topLeftCell="H1" workbookViewId="0">
      <selection activeCell="M21" sqref="M21"/>
    </sheetView>
  </sheetViews>
  <sheetFormatPr baseColWidth="10" defaultRowHeight="15" x14ac:dyDescent="0.25"/>
  <cols>
    <col min="6" max="6" width="22" customWidth="1"/>
    <col min="12" max="12" width="27" customWidth="1"/>
    <col min="18" max="18" width="20.5703125" customWidth="1"/>
    <col min="24" max="24" width="22.28515625" customWidth="1"/>
  </cols>
  <sheetData>
    <row r="2" spans="2:24" ht="15.75" thickBot="1" x14ac:dyDescent="0.3"/>
    <row r="3" spans="2:24" ht="16.5" thickBot="1" x14ac:dyDescent="0.3">
      <c r="B3" s="438" t="s">
        <v>1199</v>
      </c>
      <c r="C3" s="439"/>
      <c r="D3" s="439"/>
      <c r="E3" s="439"/>
      <c r="F3" s="440"/>
      <c r="H3" s="441" t="s">
        <v>1199</v>
      </c>
      <c r="I3" s="442"/>
      <c r="J3" s="442"/>
      <c r="K3" s="442"/>
      <c r="L3" s="443"/>
      <c r="N3" s="441" t="s">
        <v>1199</v>
      </c>
      <c r="O3" s="442"/>
      <c r="P3" s="442"/>
      <c r="Q3" s="442"/>
      <c r="R3" s="443"/>
      <c r="T3" s="441" t="s">
        <v>1199</v>
      </c>
      <c r="U3" s="442"/>
      <c r="V3" s="442"/>
      <c r="W3" s="442"/>
      <c r="X3" s="443"/>
    </row>
    <row r="4" spans="2:24" ht="90" x14ac:dyDescent="0.25">
      <c r="B4" s="444" t="s">
        <v>1200</v>
      </c>
      <c r="C4" s="445"/>
      <c r="D4" s="356">
        <v>2019</v>
      </c>
      <c r="E4" s="356">
        <v>2018</v>
      </c>
      <c r="F4" s="357" t="s">
        <v>1201</v>
      </c>
      <c r="H4" s="446" t="s">
        <v>1202</v>
      </c>
      <c r="I4" s="447"/>
      <c r="J4" s="358" t="s">
        <v>1203</v>
      </c>
      <c r="K4" s="358" t="s">
        <v>1204</v>
      </c>
      <c r="L4" s="359" t="s">
        <v>1201</v>
      </c>
      <c r="N4" s="446" t="s">
        <v>1205</v>
      </c>
      <c r="O4" s="447"/>
      <c r="P4" s="360" t="s">
        <v>1206</v>
      </c>
      <c r="Q4" s="358" t="s">
        <v>1207</v>
      </c>
      <c r="R4" s="359" t="s">
        <v>1201</v>
      </c>
      <c r="T4" s="446" t="s">
        <v>1208</v>
      </c>
      <c r="U4" s="447"/>
      <c r="V4" s="360" t="s">
        <v>1206</v>
      </c>
      <c r="W4" s="358" t="s">
        <v>1207</v>
      </c>
      <c r="X4" s="359" t="s">
        <v>1201</v>
      </c>
    </row>
    <row r="5" spans="2:24" x14ac:dyDescent="0.25">
      <c r="B5" s="434" t="s">
        <v>1209</v>
      </c>
      <c r="C5" s="435"/>
      <c r="D5" s="361">
        <v>2052</v>
      </c>
      <c r="E5" s="361">
        <v>691</v>
      </c>
      <c r="F5" s="362">
        <f>+D5-E5</f>
        <v>1361</v>
      </c>
      <c r="H5" s="434" t="s">
        <v>1209</v>
      </c>
      <c r="I5" s="435"/>
      <c r="J5" s="361">
        <v>0</v>
      </c>
      <c r="K5" s="361">
        <v>22704</v>
      </c>
      <c r="L5" s="363">
        <f>(J5/K5)-1</f>
        <v>-1</v>
      </c>
      <c r="N5" s="434" t="s">
        <v>1209</v>
      </c>
      <c r="O5" s="435"/>
      <c r="P5" s="361">
        <v>9366</v>
      </c>
      <c r="Q5" s="361">
        <v>5840</v>
      </c>
      <c r="R5" s="362">
        <f>+P5-Q5</f>
        <v>3526</v>
      </c>
      <c r="T5" s="434" t="s">
        <v>1209</v>
      </c>
      <c r="U5" s="435"/>
      <c r="V5" s="361">
        <v>137.1</v>
      </c>
      <c r="W5" s="361">
        <v>12.2</v>
      </c>
      <c r="X5" s="362">
        <f>+V5-W5</f>
        <v>124.89999999999999</v>
      </c>
    </row>
    <row r="6" spans="2:24" x14ac:dyDescent="0.25">
      <c r="B6" s="434" t="s">
        <v>1210</v>
      </c>
      <c r="C6" s="435"/>
      <c r="D6" s="361">
        <v>2060</v>
      </c>
      <c r="E6" s="361">
        <v>1836</v>
      </c>
      <c r="F6" s="362">
        <f t="shared" ref="F6:F16" si="0">+D6-E6</f>
        <v>224</v>
      </c>
      <c r="H6" s="434" t="s">
        <v>1210</v>
      </c>
      <c r="I6" s="435"/>
      <c r="J6" s="361">
        <v>86540</v>
      </c>
      <c r="K6" s="361">
        <v>34068</v>
      </c>
      <c r="L6" s="363">
        <f>(J6/K6)-1</f>
        <v>1.5402136902665258</v>
      </c>
      <c r="N6" s="434" t="s">
        <v>1210</v>
      </c>
      <c r="O6" s="435"/>
      <c r="P6" s="361">
        <v>4194</v>
      </c>
      <c r="Q6" s="361">
        <v>9366</v>
      </c>
      <c r="R6" s="364">
        <f t="shared" ref="R6:R7" si="1">+P6-Q6</f>
        <v>-5172</v>
      </c>
      <c r="T6" s="434" t="s">
        <v>1210</v>
      </c>
      <c r="U6" s="435"/>
      <c r="V6" s="361">
        <v>78.2</v>
      </c>
      <c r="W6" s="361">
        <v>137.1</v>
      </c>
      <c r="X6" s="364">
        <f t="shared" ref="X6:X13" si="2">+V6-W6</f>
        <v>-58.899999999999991</v>
      </c>
    </row>
    <row r="7" spans="2:24" x14ac:dyDescent="0.25">
      <c r="B7" s="434" t="s">
        <v>1211</v>
      </c>
      <c r="C7" s="435"/>
      <c r="D7" s="361">
        <v>2569</v>
      </c>
      <c r="E7" s="361">
        <v>2122</v>
      </c>
      <c r="F7" s="362">
        <f t="shared" si="0"/>
        <v>447</v>
      </c>
      <c r="H7" s="434" t="s">
        <v>1211</v>
      </c>
      <c r="I7" s="435"/>
      <c r="J7" s="361">
        <v>79110</v>
      </c>
      <c r="K7" s="361">
        <v>56780</v>
      </c>
      <c r="L7" s="363">
        <f>(J7/K7)-1</f>
        <v>0.39327227897146888</v>
      </c>
      <c r="N7" s="434" t="s">
        <v>1211</v>
      </c>
      <c r="O7" s="435"/>
      <c r="P7" s="361">
        <v>2196</v>
      </c>
      <c r="Q7" s="361">
        <v>4194</v>
      </c>
      <c r="R7" s="364">
        <f t="shared" si="1"/>
        <v>-1998</v>
      </c>
      <c r="T7" s="434" t="s">
        <v>1211</v>
      </c>
      <c r="U7" s="435"/>
      <c r="V7" s="361">
        <v>186.6</v>
      </c>
      <c r="W7" s="361">
        <v>78.2</v>
      </c>
      <c r="X7" s="362">
        <f t="shared" si="2"/>
        <v>108.39999999999999</v>
      </c>
    </row>
    <row r="8" spans="2:24" x14ac:dyDescent="0.25">
      <c r="B8" s="434" t="s">
        <v>1212</v>
      </c>
      <c r="C8" s="435"/>
      <c r="D8" s="361">
        <v>3167</v>
      </c>
      <c r="E8" s="361">
        <v>3037</v>
      </c>
      <c r="F8" s="365">
        <f t="shared" si="0"/>
        <v>130</v>
      </c>
      <c r="H8" s="434" t="s">
        <v>1212</v>
      </c>
      <c r="I8" s="435"/>
      <c r="J8" s="361">
        <v>73230</v>
      </c>
      <c r="K8" s="361">
        <v>97850</v>
      </c>
      <c r="L8" s="363">
        <f t="shared" ref="L8:L13" si="3">(J8/K8)-1</f>
        <v>-0.25160960654062337</v>
      </c>
      <c r="N8" s="434" t="s">
        <v>1212</v>
      </c>
      <c r="O8" s="435"/>
      <c r="P8" s="361"/>
      <c r="Q8" s="361"/>
      <c r="R8" s="366"/>
      <c r="T8" s="434" t="s">
        <v>1212</v>
      </c>
      <c r="U8" s="435"/>
      <c r="V8" s="361">
        <f>+'[4]Sólidos contaminados'!$D$49+'[4]Placas filtrantes'!$D$47+'[4]Otros respel'!$C$19</f>
        <v>127</v>
      </c>
      <c r="W8" s="361">
        <f>+V7</f>
        <v>186.6</v>
      </c>
      <c r="X8" s="362">
        <f t="shared" si="2"/>
        <v>-59.599999999999994</v>
      </c>
    </row>
    <row r="9" spans="2:24" x14ac:dyDescent="0.25">
      <c r="B9" s="434" t="s">
        <v>23</v>
      </c>
      <c r="C9" s="435"/>
      <c r="D9" s="361">
        <v>2399</v>
      </c>
      <c r="E9" s="361">
        <v>2706</v>
      </c>
      <c r="F9" s="365">
        <f t="shared" si="0"/>
        <v>-307</v>
      </c>
      <c r="H9" s="434" t="s">
        <v>23</v>
      </c>
      <c r="I9" s="435"/>
      <c r="J9" s="361">
        <v>106370</v>
      </c>
      <c r="K9" s="361">
        <v>84540</v>
      </c>
      <c r="L9" s="363">
        <f t="shared" si="3"/>
        <v>0.25822096049207466</v>
      </c>
      <c r="N9" s="434" t="s">
        <v>23</v>
      </c>
      <c r="O9" s="435"/>
      <c r="P9" s="361"/>
      <c r="Q9" s="361"/>
      <c r="R9" s="367"/>
      <c r="T9" s="434" t="s">
        <v>23</v>
      </c>
      <c r="U9" s="435"/>
      <c r="V9" s="361">
        <f>+'[4]Sólidos contaminados'!$D$56+'[4]Placas filtrantes'!$D$53+'[4]Otros respel'!$C$22</f>
        <v>24.7</v>
      </c>
      <c r="W9" s="361">
        <v>127</v>
      </c>
      <c r="X9" s="362">
        <f t="shared" si="2"/>
        <v>-102.3</v>
      </c>
    </row>
    <row r="10" spans="2:24" x14ac:dyDescent="0.25">
      <c r="B10" s="434" t="s">
        <v>24</v>
      </c>
      <c r="C10" s="435"/>
      <c r="D10" s="361">
        <v>2028</v>
      </c>
      <c r="E10" s="361">
        <v>2177</v>
      </c>
      <c r="F10" s="365">
        <f t="shared" si="0"/>
        <v>-149</v>
      </c>
      <c r="H10" s="434" t="s">
        <v>24</v>
      </c>
      <c r="I10" s="435"/>
      <c r="J10" s="361">
        <v>93290</v>
      </c>
      <c r="K10" s="361">
        <v>40830</v>
      </c>
      <c r="L10" s="363">
        <f t="shared" si="3"/>
        <v>1.2848395787411215</v>
      </c>
      <c r="N10" s="434" t="s">
        <v>24</v>
      </c>
      <c r="O10" s="435"/>
      <c r="P10" s="361"/>
      <c r="Q10" s="361"/>
      <c r="R10" s="368"/>
      <c r="T10" s="434" t="s">
        <v>24</v>
      </c>
      <c r="U10" s="435"/>
      <c r="V10" s="361">
        <f>+'[4]Sólidos contaminados'!$D$64+'[4]Placas filtrantes'!$D$59+'[4]Otros respel'!$C$24</f>
        <v>41.3</v>
      </c>
      <c r="W10" s="361">
        <f>+V9</f>
        <v>24.7</v>
      </c>
      <c r="X10" s="362">
        <f t="shared" si="2"/>
        <v>16.599999999999998</v>
      </c>
    </row>
    <row r="11" spans="2:24" x14ac:dyDescent="0.25">
      <c r="B11" s="434" t="s">
        <v>25</v>
      </c>
      <c r="C11" s="435"/>
      <c r="D11" s="361">
        <v>1762</v>
      </c>
      <c r="E11" s="361">
        <v>2155</v>
      </c>
      <c r="F11" s="365">
        <f t="shared" si="0"/>
        <v>-393</v>
      </c>
      <c r="H11" s="434" t="s">
        <v>25</v>
      </c>
      <c r="I11" s="435"/>
      <c r="J11" s="361">
        <v>97470</v>
      </c>
      <c r="K11" s="361">
        <v>55790</v>
      </c>
      <c r="L11" s="363">
        <f t="shared" si="3"/>
        <v>0.7470872916293243</v>
      </c>
      <c r="N11" s="434" t="s">
        <v>25</v>
      </c>
      <c r="O11" s="435"/>
      <c r="P11" s="361"/>
      <c r="Q11" s="361"/>
      <c r="R11" s="368"/>
      <c r="T11" s="434" t="s">
        <v>25</v>
      </c>
      <c r="U11" s="435"/>
      <c r="V11" s="361">
        <f>+'[4]Sólidos contaminados'!$D$66+'[4]Placas filtrantes'!$D$68+'[4]Otros respel'!$C$26</f>
        <v>217.74999999999997</v>
      </c>
      <c r="W11" s="361">
        <f>+V10</f>
        <v>41.3</v>
      </c>
      <c r="X11" s="362">
        <f t="shared" si="2"/>
        <v>176.45</v>
      </c>
    </row>
    <row r="12" spans="2:24" x14ac:dyDescent="0.25">
      <c r="B12" s="434" t="s">
        <v>1213</v>
      </c>
      <c r="C12" s="435"/>
      <c r="D12" s="361">
        <v>1723</v>
      </c>
      <c r="E12" s="361">
        <v>1976</v>
      </c>
      <c r="F12" s="365">
        <f t="shared" si="0"/>
        <v>-253</v>
      </c>
      <c r="H12" s="434" t="s">
        <v>1213</v>
      </c>
      <c r="I12" s="435"/>
      <c r="J12" s="361">
        <v>103540</v>
      </c>
      <c r="K12" s="361">
        <v>61840</v>
      </c>
      <c r="L12" s="363">
        <f t="shared" si="3"/>
        <v>0.67432082794307902</v>
      </c>
      <c r="N12" s="434" t="s">
        <v>1213</v>
      </c>
      <c r="O12" s="435"/>
      <c r="P12" s="361"/>
      <c r="Q12" s="361"/>
      <c r="R12" s="368"/>
      <c r="T12" s="434" t="s">
        <v>1213</v>
      </c>
      <c r="U12" s="435"/>
      <c r="V12" s="361">
        <f>+'[4]Sólidos contaminados'!$D$69+'[4]Placas filtrantes'!$D$72</f>
        <v>65.25</v>
      </c>
      <c r="W12" s="361">
        <f>+V11</f>
        <v>217.74999999999997</v>
      </c>
      <c r="X12" s="362">
        <f t="shared" si="2"/>
        <v>-152.49999999999997</v>
      </c>
    </row>
    <row r="13" spans="2:24" x14ac:dyDescent="0.25">
      <c r="B13" s="434" t="s">
        <v>1214</v>
      </c>
      <c r="C13" s="435"/>
      <c r="D13" s="361">
        <v>2307</v>
      </c>
      <c r="E13" s="361">
        <v>1762</v>
      </c>
      <c r="F13" s="366">
        <f t="shared" si="0"/>
        <v>545</v>
      </c>
      <c r="H13" s="434" t="s">
        <v>1214</v>
      </c>
      <c r="I13" s="435"/>
      <c r="J13" s="361">
        <v>72020</v>
      </c>
      <c r="K13" s="361">
        <v>27510</v>
      </c>
      <c r="L13" s="363">
        <f t="shared" si="3"/>
        <v>1.6179571065067249</v>
      </c>
      <c r="N13" s="434" t="s">
        <v>1214</v>
      </c>
      <c r="O13" s="435"/>
      <c r="P13" s="361"/>
      <c r="Q13" s="361"/>
      <c r="R13" s="368"/>
      <c r="T13" s="434" t="s">
        <v>1214</v>
      </c>
      <c r="U13" s="435"/>
      <c r="V13" s="361">
        <f>+'[4]Sólidos contaminados'!$D$81+'[4]Placas filtrantes'!$D$84+'[4]Otros respel'!$C$28</f>
        <v>221.75</v>
      </c>
      <c r="W13" s="361">
        <f>+V12</f>
        <v>65.25</v>
      </c>
      <c r="X13" s="362">
        <f t="shared" si="2"/>
        <v>156.5</v>
      </c>
    </row>
    <row r="14" spans="2:24" x14ac:dyDescent="0.25">
      <c r="B14" s="434" t="s">
        <v>28</v>
      </c>
      <c r="C14" s="435"/>
      <c r="D14" s="361">
        <v>0</v>
      </c>
      <c r="E14" s="361">
        <v>0</v>
      </c>
      <c r="F14" s="365">
        <f t="shared" si="0"/>
        <v>0</v>
      </c>
      <c r="H14" s="434" t="s">
        <v>28</v>
      </c>
      <c r="I14" s="435"/>
      <c r="J14" s="361"/>
      <c r="K14" s="361"/>
      <c r="L14" s="366"/>
      <c r="N14" s="434" t="s">
        <v>28</v>
      </c>
      <c r="O14" s="435"/>
      <c r="P14" s="361"/>
      <c r="Q14" s="361"/>
      <c r="R14" s="368"/>
      <c r="T14" s="434" t="s">
        <v>28</v>
      </c>
      <c r="U14" s="435"/>
      <c r="V14" s="361"/>
      <c r="W14" s="361"/>
      <c r="X14" s="369"/>
    </row>
    <row r="15" spans="2:24" x14ac:dyDescent="0.25">
      <c r="B15" s="434" t="s">
        <v>29</v>
      </c>
      <c r="C15" s="435"/>
      <c r="D15" s="361">
        <v>0</v>
      </c>
      <c r="E15" s="361">
        <v>0</v>
      </c>
      <c r="F15" s="365">
        <f t="shared" si="0"/>
        <v>0</v>
      </c>
      <c r="H15" s="434" t="s">
        <v>29</v>
      </c>
      <c r="I15" s="435"/>
      <c r="J15" s="361"/>
      <c r="K15" s="361"/>
      <c r="L15" s="366"/>
      <c r="N15" s="434" t="s">
        <v>29</v>
      </c>
      <c r="O15" s="435"/>
      <c r="P15" s="361"/>
      <c r="Q15" s="361"/>
      <c r="R15" s="367"/>
      <c r="T15" s="434" t="s">
        <v>29</v>
      </c>
      <c r="U15" s="435"/>
      <c r="V15" s="361"/>
      <c r="W15" s="361"/>
      <c r="X15" s="364"/>
    </row>
    <row r="16" spans="2:24" ht="15.75" thickBot="1" x14ac:dyDescent="0.3">
      <c r="B16" s="436" t="s">
        <v>30</v>
      </c>
      <c r="C16" s="437"/>
      <c r="D16" s="370">
        <v>0</v>
      </c>
      <c r="E16" s="370">
        <v>0</v>
      </c>
      <c r="F16" s="371">
        <f t="shared" si="0"/>
        <v>0</v>
      </c>
      <c r="H16" s="436" t="s">
        <v>30</v>
      </c>
      <c r="I16" s="437"/>
      <c r="J16" s="370"/>
      <c r="K16" s="370"/>
      <c r="L16" s="372"/>
      <c r="N16" s="436" t="s">
        <v>30</v>
      </c>
      <c r="O16" s="437"/>
      <c r="P16" s="370"/>
      <c r="Q16" s="370"/>
      <c r="R16" s="373"/>
      <c r="T16" s="436" t="s">
        <v>30</v>
      </c>
      <c r="U16" s="437"/>
      <c r="V16" s="370"/>
      <c r="W16" s="370"/>
      <c r="X16" s="374"/>
    </row>
    <row r="17" spans="6:24" ht="30" x14ac:dyDescent="0.25">
      <c r="F17" s="375" t="s">
        <v>377</v>
      </c>
      <c r="L17" s="375" t="s">
        <v>377</v>
      </c>
      <c r="R17" s="376" t="s">
        <v>324</v>
      </c>
      <c r="X17" s="375" t="s">
        <v>377</v>
      </c>
    </row>
  </sheetData>
  <mergeCells count="56">
    <mergeCell ref="B3:F3"/>
    <mergeCell ref="H3:L3"/>
    <mergeCell ref="N3:R3"/>
    <mergeCell ref="T3:X3"/>
    <mergeCell ref="B4:C4"/>
    <mergeCell ref="H4:I4"/>
    <mergeCell ref="N4:O4"/>
    <mergeCell ref="T4:U4"/>
    <mergeCell ref="B5:C5"/>
    <mergeCell ref="H5:I5"/>
    <mergeCell ref="N5:O5"/>
    <mergeCell ref="T5:U5"/>
    <mergeCell ref="B6:C6"/>
    <mergeCell ref="H6:I6"/>
    <mergeCell ref="N6:O6"/>
    <mergeCell ref="T6:U6"/>
    <mergeCell ref="B7:C7"/>
    <mergeCell ref="H7:I7"/>
    <mergeCell ref="N7:O7"/>
    <mergeCell ref="T7:U7"/>
    <mergeCell ref="B8:C8"/>
    <mergeCell ref="H8:I8"/>
    <mergeCell ref="N8:O8"/>
    <mergeCell ref="T8:U8"/>
    <mergeCell ref="B9:C9"/>
    <mergeCell ref="H9:I9"/>
    <mergeCell ref="N9:O9"/>
    <mergeCell ref="T9:U9"/>
    <mergeCell ref="B10:C10"/>
    <mergeCell ref="H10:I10"/>
    <mergeCell ref="N10:O10"/>
    <mergeCell ref="T10:U10"/>
    <mergeCell ref="B11:C11"/>
    <mergeCell ref="H11:I11"/>
    <mergeCell ref="N11:O11"/>
    <mergeCell ref="T11:U11"/>
    <mergeCell ref="B12:C12"/>
    <mergeCell ref="H12:I12"/>
    <mergeCell ref="N12:O12"/>
    <mergeCell ref="T12:U12"/>
    <mergeCell ref="B13:C13"/>
    <mergeCell ref="H13:I13"/>
    <mergeCell ref="N13:O13"/>
    <mergeCell ref="T13:U13"/>
    <mergeCell ref="B14:C14"/>
    <mergeCell ref="H14:I14"/>
    <mergeCell ref="N14:O14"/>
    <mergeCell ref="T14:U14"/>
    <mergeCell ref="B15:C15"/>
    <mergeCell ref="H15:I15"/>
    <mergeCell ref="N15:O15"/>
    <mergeCell ref="T15:U15"/>
    <mergeCell ref="B16:C16"/>
    <mergeCell ref="H16:I16"/>
    <mergeCell ref="N16:O16"/>
    <mergeCell ref="T16:U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MIP</vt:lpstr>
      <vt:lpstr>INFORMACIÓN ADICIONAL</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Alessandra Blanco Bernal</dc:creator>
  <cp:lastModifiedBy>Diana Alessandra Blanco Bernal</cp:lastModifiedBy>
  <dcterms:created xsi:type="dcterms:W3CDTF">2019-12-12T19:25:24Z</dcterms:created>
  <dcterms:modified xsi:type="dcterms:W3CDTF">2020-04-07T22:34:57Z</dcterms:modified>
</cp:coreProperties>
</file>