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ana.blanco.ELC\Desktop\OFICINA ASESORA DE PLANEACION Y SISTEMAS ELC\SGC\TRAZABILIDAD MATRIZ DE INDICADORES CONSOLIDADA\MATRIZ SISTEMA DE MEDICIÓN\CUARTO CORTE\"/>
    </mc:Choice>
  </mc:AlternateContent>
  <bookViews>
    <workbookView xWindow="0" yWindow="0" windowWidth="28800" windowHeight="12435" activeTab="2"/>
  </bookViews>
  <sheets>
    <sheet name="MATRIZ  INDICADORES" sheetId="1" r:id="rId1"/>
    <sheet name="LISTA DE INDICADORES" sheetId="2" r:id="rId2"/>
    <sheet name="INFORMACIÓN ADICIONAL" sheetId="4" r:id="rId3"/>
  </sheets>
  <externalReferences>
    <externalReference r:id="rId4"/>
    <externalReference r:id="rId5"/>
    <externalReference r:id="rId6"/>
    <externalReference r:id="rId7"/>
    <externalReference r:id="rId8"/>
  </externalReferences>
  <definedNames>
    <definedName name="_xlnm._FilterDatabase" localSheetId="0" hidden="1">'MATRIZ  INDICADORES'!$A$4:$AY$108</definedName>
    <definedName name="contractual" localSheetId="0">'MATRIZ  INDICADORES'!#REF!</definedName>
    <definedName name="contractual">'[1]MATRIZ  INDICADORES POR PROCESO'!#REF!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2" l="1"/>
  <c r="AS104" i="1"/>
  <c r="AS103" i="1"/>
  <c r="AS102" i="1"/>
  <c r="AK104" i="1"/>
  <c r="AK103" i="1"/>
  <c r="AS101" i="1" l="1"/>
  <c r="AS100" i="1"/>
  <c r="AS97" i="1" l="1"/>
  <c r="AS96" i="1"/>
  <c r="AS95" i="1"/>
  <c r="AK99" i="1" l="1"/>
  <c r="AS93" i="1" l="1"/>
  <c r="AS92" i="1"/>
  <c r="AS91" i="1"/>
  <c r="AS90" i="1"/>
  <c r="AS88" i="1"/>
  <c r="AS89" i="1"/>
  <c r="AG92" i="1" l="1"/>
  <c r="AK93" i="1"/>
  <c r="AI93" i="1"/>
  <c r="AG93" i="1"/>
  <c r="AK92" i="1"/>
  <c r="AI92" i="1"/>
  <c r="AS87" i="1" l="1"/>
  <c r="AK87" i="1"/>
  <c r="F6" i="4"/>
  <c r="F7" i="4"/>
  <c r="F8" i="4"/>
  <c r="F9" i="4"/>
  <c r="F10" i="4"/>
  <c r="F11" i="4"/>
  <c r="F12" i="4"/>
  <c r="F13" i="4"/>
  <c r="F14" i="4"/>
  <c r="F15" i="4"/>
  <c r="F16" i="4"/>
  <c r="F5" i="4"/>
  <c r="AI87" i="1"/>
  <c r="X16" i="4"/>
  <c r="X15" i="4"/>
  <c r="X14" i="4"/>
  <c r="X13" i="4"/>
  <c r="X12" i="4"/>
  <c r="X11" i="4"/>
  <c r="X10" i="4"/>
  <c r="X9" i="4"/>
  <c r="X8" i="4"/>
  <c r="X7" i="4"/>
  <c r="X6" i="4"/>
  <c r="X5" i="4"/>
  <c r="AS86" i="1"/>
  <c r="R6" i="4"/>
  <c r="R7" i="4"/>
  <c r="R8" i="4"/>
  <c r="R9" i="4"/>
  <c r="R10" i="4"/>
  <c r="R11" i="4"/>
  <c r="R12" i="4"/>
  <c r="R13" i="4"/>
  <c r="R14" i="4"/>
  <c r="R15" i="4"/>
  <c r="R16" i="4"/>
  <c r="R5" i="4"/>
  <c r="L5" i="4" l="1"/>
  <c r="L6" i="4"/>
  <c r="L7" i="4"/>
  <c r="L8" i="4"/>
  <c r="L9" i="4"/>
  <c r="L10" i="4"/>
  <c r="L11" i="4"/>
  <c r="L12" i="4"/>
  <c r="L13" i="4"/>
  <c r="L14" i="4"/>
  <c r="L15" i="4"/>
  <c r="L16" i="4"/>
  <c r="AI85" i="1"/>
  <c r="AS84" i="1"/>
  <c r="AK86" i="1"/>
  <c r="AK85" i="1"/>
  <c r="AK84" i="1"/>
  <c r="AI86" i="1"/>
  <c r="AI84" i="1"/>
  <c r="AG87" i="1"/>
  <c r="AG86" i="1"/>
  <c r="AG85" i="1"/>
  <c r="AG84" i="1"/>
  <c r="AS83" i="1" l="1"/>
  <c r="AS82" i="1"/>
  <c r="AS81" i="1"/>
  <c r="AK83" i="1"/>
  <c r="AK82" i="1"/>
  <c r="AK81" i="1"/>
  <c r="AS73" i="1" l="1"/>
  <c r="AK73" i="1"/>
  <c r="AI73" i="1"/>
  <c r="AG73" i="1"/>
  <c r="AE73" i="1"/>
  <c r="AC73" i="1"/>
  <c r="AA73" i="1"/>
  <c r="Y73" i="1"/>
  <c r="W73" i="1"/>
  <c r="U73" i="1"/>
  <c r="S73" i="1"/>
  <c r="Q73" i="1"/>
  <c r="O73" i="1"/>
  <c r="AS79" i="1"/>
  <c r="AS78" i="1"/>
  <c r="AS71" i="1"/>
  <c r="U70" i="1"/>
  <c r="W70" i="1"/>
  <c r="Y70" i="1"/>
  <c r="AA70" i="1"/>
  <c r="AC70" i="1"/>
  <c r="AE70" i="1"/>
  <c r="AG70" i="1"/>
  <c r="AI70" i="1"/>
  <c r="AK70" i="1"/>
  <c r="AS67" i="1"/>
  <c r="AS68" i="1"/>
  <c r="AS69" i="1"/>
  <c r="AS66" i="1"/>
  <c r="AS65" i="1"/>
  <c r="AS64" i="1"/>
  <c r="AS63" i="1"/>
  <c r="AS62" i="1"/>
  <c r="AS61" i="1"/>
  <c r="AS60" i="1"/>
  <c r="AS59" i="1" l="1"/>
  <c r="AS58" i="1"/>
  <c r="AS57" i="1"/>
  <c r="AS56" i="1"/>
  <c r="AS55" i="1"/>
  <c r="AS54" i="1"/>
  <c r="AS53" i="1"/>
  <c r="AS52" i="1"/>
  <c r="AS51" i="1"/>
  <c r="AS50" i="1"/>
  <c r="AS49" i="1"/>
  <c r="AS48" i="1"/>
  <c r="AS47" i="1"/>
  <c r="AS46" i="1"/>
  <c r="AS45" i="1"/>
  <c r="AS44" i="1"/>
  <c r="AS43" i="1"/>
  <c r="AS42" i="1"/>
  <c r="AS41" i="1"/>
  <c r="AS40" i="1"/>
  <c r="AS39" i="1"/>
  <c r="AS38" i="1"/>
  <c r="AS37" i="1"/>
  <c r="AS36" i="1"/>
  <c r="AS35" i="1"/>
  <c r="AS34" i="1"/>
  <c r="AS33" i="1"/>
  <c r="AS32" i="1"/>
  <c r="AS31" i="1"/>
  <c r="AS30" i="1"/>
  <c r="AS29" i="1"/>
  <c r="AS28" i="1"/>
  <c r="AS27" i="1"/>
  <c r="AS14" i="1" l="1"/>
  <c r="AS8" i="1" l="1"/>
  <c r="AS7" i="1"/>
  <c r="AS6" i="1"/>
  <c r="AS5" i="1"/>
  <c r="Y105" i="1" l="1"/>
  <c r="Y104" i="1"/>
  <c r="AE10" i="1"/>
  <c r="AC10" i="1"/>
  <c r="AA10" i="1"/>
  <c r="AI20" i="1" l="1"/>
  <c r="AK25" i="1"/>
  <c r="AI25" i="1"/>
  <c r="AG25" i="1"/>
  <c r="AE25" i="1"/>
  <c r="AC25" i="1"/>
  <c r="AA25" i="1"/>
  <c r="AA24" i="1"/>
  <c r="AK23" i="1"/>
  <c r="AI23" i="1"/>
  <c r="AG23" i="1"/>
  <c r="AE23" i="1"/>
  <c r="AC23" i="1"/>
  <c r="AA23" i="1"/>
  <c r="AK22" i="1"/>
  <c r="AI22" i="1"/>
  <c r="AG22" i="1"/>
  <c r="AE22" i="1"/>
  <c r="AC22" i="1"/>
  <c r="AA22" i="1"/>
  <c r="AK21" i="1"/>
  <c r="AI21" i="1"/>
  <c r="AG21" i="1"/>
  <c r="AE21" i="1"/>
  <c r="AC21" i="1"/>
  <c r="AA21" i="1"/>
  <c r="AK20" i="1"/>
  <c r="AG20" i="1"/>
  <c r="AE20" i="1"/>
  <c r="AC20" i="1"/>
  <c r="AA20" i="1"/>
  <c r="AK71" i="1" l="1"/>
  <c r="AI71" i="1"/>
  <c r="AG71" i="1"/>
  <c r="AI18" i="1" l="1"/>
  <c r="AK17" i="1"/>
  <c r="AI17" i="1"/>
  <c r="AG17" i="1"/>
  <c r="AK16" i="1"/>
  <c r="AI16" i="1"/>
  <c r="AG16" i="1"/>
  <c r="AK13" i="1"/>
  <c r="AS13" i="1" s="1"/>
  <c r="AI13" i="1"/>
  <c r="AG13" i="1"/>
  <c r="AK12" i="1"/>
  <c r="AI12" i="1"/>
  <c r="AG12" i="1"/>
  <c r="AS12" i="1" l="1"/>
  <c r="AK11" i="1"/>
  <c r="AS11" i="1" s="1"/>
  <c r="AG11" i="1"/>
  <c r="AI11" i="1"/>
  <c r="AK10" i="1"/>
  <c r="AS10" i="1" s="1"/>
  <c r="AI10" i="1"/>
  <c r="AG10" i="1"/>
  <c r="AK9" i="1"/>
  <c r="AS9" i="1" s="1"/>
  <c r="AI9" i="1"/>
  <c r="AG9" i="1"/>
  <c r="AI7" i="1" l="1"/>
  <c r="AG7" i="1"/>
  <c r="AK72" i="1" l="1"/>
  <c r="AS72" i="1" s="1"/>
  <c r="AI72" i="1"/>
  <c r="AG72" i="1"/>
  <c r="AE72" i="1"/>
  <c r="AC72" i="1"/>
  <c r="AA72" i="1"/>
  <c r="Y72" i="1"/>
  <c r="W72" i="1"/>
  <c r="U72" i="1"/>
  <c r="AW125" i="1" l="1"/>
  <c r="AX122" i="1"/>
  <c r="AW122" i="1"/>
  <c r="AT122" i="1"/>
  <c r="AU105" i="1"/>
  <c r="AS105" i="1"/>
  <c r="AT105" i="1"/>
  <c r="BH104" i="1"/>
  <c r="BG104" i="1"/>
  <c r="BF104" i="1"/>
  <c r="BE104" i="1"/>
  <c r="BD104" i="1"/>
  <c r="BC104" i="1"/>
  <c r="BA104" i="1"/>
  <c r="AZ104" i="1"/>
  <c r="AY104" i="1"/>
  <c r="AX104" i="1"/>
  <c r="AW104" i="1"/>
  <c r="BB104" i="1"/>
  <c r="BH103" i="1"/>
  <c r="BG103" i="1"/>
  <c r="BF103" i="1"/>
  <c r="BE103" i="1"/>
  <c r="BD103" i="1"/>
  <c r="BC103" i="1"/>
  <c r="BA103" i="1"/>
  <c r="AZ103" i="1"/>
  <c r="AY103" i="1"/>
  <c r="AX103" i="1"/>
  <c r="AW103" i="1"/>
  <c r="Y103" i="1"/>
  <c r="AT103" i="1" s="1"/>
  <c r="BH102" i="1"/>
  <c r="BG102" i="1"/>
  <c r="BF102" i="1"/>
  <c r="BE102" i="1"/>
  <c r="BD102" i="1"/>
  <c r="BC102" i="1"/>
  <c r="Y102" i="1"/>
  <c r="BB102" i="1" s="1"/>
  <c r="W102" i="1"/>
  <c r="BA102" i="1" s="1"/>
  <c r="U102" i="1"/>
  <c r="AZ102" i="1" s="1"/>
  <c r="S102" i="1"/>
  <c r="AY102" i="1" s="1"/>
  <c r="Q102" i="1"/>
  <c r="AX102" i="1" s="1"/>
  <c r="O102" i="1"/>
  <c r="AW102" i="1" s="1"/>
  <c r="BH101" i="1"/>
  <c r="BG101" i="1"/>
  <c r="BF101" i="1"/>
  <c r="BE101" i="1"/>
  <c r="BD101" i="1"/>
  <c r="BC101" i="1"/>
  <c r="BB101" i="1"/>
  <c r="BA101" i="1"/>
  <c r="AZ101" i="1"/>
  <c r="AY101" i="1"/>
  <c r="AX101" i="1"/>
  <c r="AW101" i="1"/>
  <c r="AT101" i="1"/>
  <c r="BH100" i="1"/>
  <c r="BG100" i="1"/>
  <c r="BF100" i="1"/>
  <c r="BE100" i="1"/>
  <c r="BD100" i="1"/>
  <c r="BC100" i="1"/>
  <c r="BB100" i="1"/>
  <c r="BA100" i="1"/>
  <c r="AZ100" i="1"/>
  <c r="AY100" i="1"/>
  <c r="AX100" i="1"/>
  <c r="AW100" i="1"/>
  <c r="AT100" i="1"/>
  <c r="BH99" i="1"/>
  <c r="BG99" i="1"/>
  <c r="BF99" i="1"/>
  <c r="BE99" i="1"/>
  <c r="BD99" i="1"/>
  <c r="BC99" i="1"/>
  <c r="BB99" i="1"/>
  <c r="BA99" i="1"/>
  <c r="AZ99" i="1"/>
  <c r="AY99" i="1"/>
  <c r="AX99" i="1"/>
  <c r="AW99" i="1"/>
  <c r="AT99" i="1"/>
  <c r="BH96" i="1"/>
  <c r="BG96" i="1"/>
  <c r="BF96" i="1"/>
  <c r="BE96" i="1"/>
  <c r="BD96" i="1"/>
  <c r="BC96" i="1"/>
  <c r="BB96" i="1"/>
  <c r="BA96" i="1"/>
  <c r="AZ96" i="1"/>
  <c r="AY96" i="1"/>
  <c r="AX96" i="1"/>
  <c r="AW96" i="1"/>
  <c r="AT96" i="1"/>
  <c r="BH95" i="1"/>
  <c r="BG95" i="1"/>
  <c r="BF95" i="1"/>
  <c r="BE95" i="1"/>
  <c r="BD95" i="1"/>
  <c r="BC95" i="1"/>
  <c r="BB95" i="1"/>
  <c r="BA95" i="1"/>
  <c r="AZ95" i="1"/>
  <c r="AY95" i="1"/>
  <c r="AX95" i="1"/>
  <c r="AW95" i="1"/>
  <c r="AT95" i="1"/>
  <c r="BH94" i="1"/>
  <c r="BG94" i="1"/>
  <c r="BF94" i="1"/>
  <c r="BE94" i="1"/>
  <c r="BD94" i="1"/>
  <c r="BC94" i="1"/>
  <c r="BB94" i="1"/>
  <c r="BA94" i="1"/>
  <c r="AZ94" i="1"/>
  <c r="AY94" i="1"/>
  <c r="AX94" i="1"/>
  <c r="AW94" i="1"/>
  <c r="AT94" i="1"/>
  <c r="AS94" i="1"/>
  <c r="BH93" i="1"/>
  <c r="BG93" i="1"/>
  <c r="BF93" i="1"/>
  <c r="BB93" i="1"/>
  <c r="BA93" i="1"/>
  <c r="AZ93" i="1"/>
  <c r="AY93" i="1"/>
  <c r="AX93" i="1"/>
  <c r="AE93" i="1"/>
  <c r="BE93" i="1" s="1"/>
  <c r="AC93" i="1"/>
  <c r="BD93" i="1" s="1"/>
  <c r="AA93" i="1"/>
  <c r="BC93" i="1" s="1"/>
  <c r="O93" i="1"/>
  <c r="AW93" i="1" s="1"/>
  <c r="BH92" i="1"/>
  <c r="BG92" i="1"/>
  <c r="BF92" i="1"/>
  <c r="BB92" i="1"/>
  <c r="BA92" i="1"/>
  <c r="AZ92" i="1"/>
  <c r="AX92" i="1"/>
  <c r="AE92" i="1"/>
  <c r="AC92" i="1"/>
  <c r="BD92" i="1" s="1"/>
  <c r="AA92" i="1"/>
  <c r="BC92" i="1" s="1"/>
  <c r="S92" i="1"/>
  <c r="AY92" i="1" s="1"/>
  <c r="O92" i="1"/>
  <c r="AW92" i="1" s="1"/>
  <c r="BH91" i="1"/>
  <c r="BG91" i="1"/>
  <c r="BF91" i="1"/>
  <c r="BE91" i="1"/>
  <c r="BD91" i="1"/>
  <c r="BC91" i="1"/>
  <c r="BB91" i="1"/>
  <c r="BA91" i="1"/>
  <c r="AZ91" i="1"/>
  <c r="AY91" i="1"/>
  <c r="AX91" i="1"/>
  <c r="AW91" i="1"/>
  <c r="AT91" i="1"/>
  <c r="BH90" i="1"/>
  <c r="BG90" i="1"/>
  <c r="BF90" i="1"/>
  <c r="BE90" i="1"/>
  <c r="BD90" i="1"/>
  <c r="BC90" i="1"/>
  <c r="BB90" i="1"/>
  <c r="BA90" i="1"/>
  <c r="AZ90" i="1"/>
  <c r="AY90" i="1"/>
  <c r="AX90" i="1"/>
  <c r="AW90" i="1"/>
  <c r="AT90" i="1"/>
  <c r="BH89" i="1"/>
  <c r="BG89" i="1"/>
  <c r="BF89" i="1"/>
  <c r="BE89" i="1"/>
  <c r="BD89" i="1"/>
  <c r="BC89" i="1"/>
  <c r="BB89" i="1"/>
  <c r="BA89" i="1"/>
  <c r="AZ89" i="1"/>
  <c r="AY89" i="1"/>
  <c r="AX89" i="1"/>
  <c r="AW89" i="1"/>
  <c r="AT89" i="1"/>
  <c r="BH88" i="1"/>
  <c r="BG88" i="1"/>
  <c r="BF88" i="1"/>
  <c r="AE88" i="1"/>
  <c r="AC88" i="1"/>
  <c r="BD88" i="1" s="1"/>
  <c r="AA88" i="1"/>
  <c r="BC88" i="1" s="1"/>
  <c r="Y88" i="1"/>
  <c r="BB88" i="1" s="1"/>
  <c r="W88" i="1"/>
  <c r="BA88" i="1" s="1"/>
  <c r="U88" i="1"/>
  <c r="AZ88" i="1" s="1"/>
  <c r="S88" i="1"/>
  <c r="AY88" i="1" s="1"/>
  <c r="Q88" i="1"/>
  <c r="O88" i="1"/>
  <c r="AW88" i="1" s="1"/>
  <c r="BH87" i="1"/>
  <c r="BG87" i="1"/>
  <c r="BF87" i="1"/>
  <c r="BE87" i="1"/>
  <c r="BD87" i="1"/>
  <c r="BC87" i="1"/>
  <c r="AY87" i="1"/>
  <c r="AX87" i="1"/>
  <c r="AW87" i="1"/>
  <c r="Y87" i="1"/>
  <c r="BB87" i="1" s="1"/>
  <c r="W87" i="1"/>
  <c r="BA87" i="1" s="1"/>
  <c r="U87" i="1"/>
  <c r="BH86" i="1"/>
  <c r="BG86" i="1"/>
  <c r="BF86" i="1"/>
  <c r="BE86" i="1"/>
  <c r="BD86" i="1"/>
  <c r="BC86" i="1"/>
  <c r="AY86" i="1"/>
  <c r="AX86" i="1"/>
  <c r="AW86" i="1"/>
  <c r="Y86" i="1"/>
  <c r="BB86" i="1" s="1"/>
  <c r="W86" i="1"/>
  <c r="BA86" i="1" s="1"/>
  <c r="U86" i="1"/>
  <c r="BH85" i="1"/>
  <c r="BG85" i="1"/>
  <c r="BF85" i="1"/>
  <c r="BE85" i="1"/>
  <c r="BD85" i="1"/>
  <c r="BC85" i="1"/>
  <c r="AZ85" i="1"/>
  <c r="AY85" i="1"/>
  <c r="AX85" i="1"/>
  <c r="AW85" i="1"/>
  <c r="Y85" i="1"/>
  <c r="BB85" i="1" s="1"/>
  <c r="W85" i="1"/>
  <c r="BA85" i="1" s="1"/>
  <c r="U85" i="1"/>
  <c r="BH84" i="1"/>
  <c r="BG84" i="1"/>
  <c r="BF84" i="1"/>
  <c r="BE84" i="1"/>
  <c r="BD84" i="1"/>
  <c r="BC84" i="1"/>
  <c r="AY84" i="1"/>
  <c r="AX84" i="1"/>
  <c r="AW84" i="1"/>
  <c r="Y84" i="1"/>
  <c r="BB84" i="1" s="1"/>
  <c r="W84" i="1"/>
  <c r="BA84" i="1" s="1"/>
  <c r="U84" i="1"/>
  <c r="BH82" i="1"/>
  <c r="BG82" i="1"/>
  <c r="BF82" i="1"/>
  <c r="BE82" i="1"/>
  <c r="BD82" i="1"/>
  <c r="BC82" i="1"/>
  <c r="BB82" i="1"/>
  <c r="BA82" i="1"/>
  <c r="AZ82" i="1"/>
  <c r="AY82" i="1"/>
  <c r="AX82" i="1"/>
  <c r="AW82" i="1"/>
  <c r="AT82" i="1"/>
  <c r="BH81" i="1"/>
  <c r="BG81" i="1"/>
  <c r="BF81" i="1"/>
  <c r="BE81" i="1"/>
  <c r="BD81" i="1"/>
  <c r="BC81" i="1"/>
  <c r="BB81" i="1"/>
  <c r="BA81" i="1"/>
  <c r="AZ81" i="1"/>
  <c r="AY81" i="1"/>
  <c r="AX81" i="1"/>
  <c r="AW81" i="1"/>
  <c r="AT81" i="1"/>
  <c r="BH80" i="1"/>
  <c r="BG80" i="1"/>
  <c r="BF80" i="1"/>
  <c r="BE80" i="1"/>
  <c r="BD80" i="1"/>
  <c r="BC80" i="1"/>
  <c r="AS80" i="1"/>
  <c r="Y80" i="1"/>
  <c r="BB80" i="1" s="1"/>
  <c r="W80" i="1"/>
  <c r="BA80" i="1" s="1"/>
  <c r="U80" i="1"/>
  <c r="AZ80" i="1" s="1"/>
  <c r="S80" i="1"/>
  <c r="AY80" i="1" s="1"/>
  <c r="Q80" i="1"/>
  <c r="AX80" i="1" s="1"/>
  <c r="O80" i="1"/>
  <c r="AW80" i="1" s="1"/>
  <c r="BH79" i="1"/>
  <c r="BG79" i="1"/>
  <c r="BF79" i="1"/>
  <c r="BE79" i="1"/>
  <c r="BD79" i="1"/>
  <c r="BC79" i="1"/>
  <c r="BB79" i="1"/>
  <c r="BA79" i="1"/>
  <c r="AZ79" i="1"/>
  <c r="AY79" i="1"/>
  <c r="AX79" i="1"/>
  <c r="AW79" i="1"/>
  <c r="AT79" i="1"/>
  <c r="BH78" i="1"/>
  <c r="BG78" i="1"/>
  <c r="BF78" i="1"/>
  <c r="BE78" i="1"/>
  <c r="BD78" i="1"/>
  <c r="BC78" i="1"/>
  <c r="BB78" i="1"/>
  <c r="BA78" i="1"/>
  <c r="AZ78" i="1"/>
  <c r="AY78" i="1"/>
  <c r="AX78" i="1"/>
  <c r="AW78" i="1"/>
  <c r="AT78" i="1"/>
  <c r="BH77" i="1"/>
  <c r="BG77" i="1"/>
  <c r="BF77" i="1"/>
  <c r="BE77" i="1"/>
  <c r="BD77" i="1"/>
  <c r="BC77" i="1"/>
  <c r="BB77" i="1"/>
  <c r="BA77" i="1"/>
  <c r="AZ77" i="1"/>
  <c r="AY77" i="1"/>
  <c r="AX77" i="1"/>
  <c r="AW77" i="1"/>
  <c r="AT77" i="1"/>
  <c r="AS77" i="1"/>
  <c r="BH76" i="1"/>
  <c r="BG76" i="1"/>
  <c r="BF76" i="1"/>
  <c r="BE76" i="1"/>
  <c r="BD76" i="1"/>
  <c r="BC76" i="1"/>
  <c r="BB76" i="1"/>
  <c r="BA76" i="1"/>
  <c r="AZ76" i="1"/>
  <c r="AY76" i="1"/>
  <c r="AX76" i="1"/>
  <c r="AW76" i="1"/>
  <c r="AT76" i="1"/>
  <c r="AS76" i="1"/>
  <c r="BH75" i="1"/>
  <c r="BG75" i="1"/>
  <c r="BF75" i="1"/>
  <c r="BE75" i="1"/>
  <c r="BD75" i="1"/>
  <c r="BC75" i="1"/>
  <c r="BB75" i="1"/>
  <c r="BA75" i="1"/>
  <c r="AZ75" i="1"/>
  <c r="AY75" i="1"/>
  <c r="AX75" i="1"/>
  <c r="AW75" i="1"/>
  <c r="AT75" i="1"/>
  <c r="AS75" i="1"/>
  <c r="BH74" i="1"/>
  <c r="BG74" i="1"/>
  <c r="BF74" i="1"/>
  <c r="BE74" i="1"/>
  <c r="BD74" i="1"/>
  <c r="BC74" i="1"/>
  <c r="BB74" i="1"/>
  <c r="BA74" i="1"/>
  <c r="AZ74" i="1"/>
  <c r="AY74" i="1"/>
  <c r="AX74" i="1"/>
  <c r="AW74" i="1"/>
  <c r="AT74" i="1"/>
  <c r="AS74" i="1"/>
  <c r="BH73" i="1"/>
  <c r="BG73" i="1"/>
  <c r="BF73" i="1"/>
  <c r="BE73" i="1"/>
  <c r="BD73" i="1"/>
  <c r="BC73" i="1"/>
  <c r="AY73" i="1"/>
  <c r="AX73" i="1"/>
  <c r="AW73" i="1"/>
  <c r="BA73" i="1"/>
  <c r="AZ73" i="1"/>
  <c r="BH72" i="1"/>
  <c r="BG72" i="1"/>
  <c r="BF72" i="1"/>
  <c r="BE72" i="1"/>
  <c r="BD72" i="1"/>
  <c r="BC72" i="1"/>
  <c r="BB72" i="1"/>
  <c r="BA72" i="1"/>
  <c r="AZ72" i="1"/>
  <c r="AY72" i="1"/>
  <c r="AX72" i="1"/>
  <c r="AW72" i="1"/>
  <c r="AT72" i="1"/>
  <c r="BH71" i="1"/>
  <c r="BG71" i="1"/>
  <c r="BF71" i="1"/>
  <c r="BE71" i="1"/>
  <c r="BD71" i="1"/>
  <c r="BC71" i="1"/>
  <c r="BB71" i="1"/>
  <c r="BA71" i="1"/>
  <c r="AZ71" i="1"/>
  <c r="S71" i="1"/>
  <c r="AY71" i="1" s="1"/>
  <c r="Q71" i="1"/>
  <c r="AX71" i="1" s="1"/>
  <c r="O71" i="1"/>
  <c r="AW71" i="1" s="1"/>
  <c r="BH70" i="1"/>
  <c r="BG70" i="1"/>
  <c r="BF70" i="1"/>
  <c r="AY70" i="1"/>
  <c r="AX70" i="1"/>
  <c r="AW70" i="1"/>
  <c r="AS70" i="1"/>
  <c r="BD70" i="1"/>
  <c r="BC70" i="1"/>
  <c r="BB70" i="1"/>
  <c r="BA70" i="1"/>
  <c r="BH69" i="1"/>
  <c r="BG69" i="1"/>
  <c r="BF69" i="1"/>
  <c r="BE69" i="1"/>
  <c r="BD69" i="1"/>
  <c r="BC69" i="1"/>
  <c r="BB69" i="1"/>
  <c r="BA69" i="1"/>
  <c r="AZ69" i="1"/>
  <c r="AY69" i="1"/>
  <c r="AX69" i="1"/>
  <c r="AW69" i="1"/>
  <c r="AT69" i="1"/>
  <c r="BH68" i="1"/>
  <c r="BG68" i="1"/>
  <c r="BF68" i="1"/>
  <c r="BE68" i="1"/>
  <c r="BD68" i="1"/>
  <c r="BC68" i="1"/>
  <c r="BB68" i="1"/>
  <c r="BA68" i="1"/>
  <c r="AZ68" i="1"/>
  <c r="AY68" i="1"/>
  <c r="AX68" i="1"/>
  <c r="AW68" i="1"/>
  <c r="AT68" i="1"/>
  <c r="BH67" i="1"/>
  <c r="BG67" i="1"/>
  <c r="BF67" i="1"/>
  <c r="BE67" i="1"/>
  <c r="BD67" i="1"/>
  <c r="BC67" i="1"/>
  <c r="BB67" i="1"/>
  <c r="BA67" i="1"/>
  <c r="AZ67" i="1"/>
  <c r="AY67" i="1"/>
  <c r="AX67" i="1"/>
  <c r="AW67" i="1"/>
  <c r="AT67" i="1"/>
  <c r="BH66" i="1"/>
  <c r="BG66" i="1"/>
  <c r="BF66" i="1"/>
  <c r="BE66" i="1"/>
  <c r="BD66" i="1"/>
  <c r="BC66" i="1"/>
  <c r="BB66" i="1"/>
  <c r="BA66" i="1"/>
  <c r="AZ66" i="1"/>
  <c r="AY66" i="1"/>
  <c r="AX66" i="1"/>
  <c r="AW66" i="1"/>
  <c r="AT66" i="1"/>
  <c r="BH65" i="1"/>
  <c r="BG65" i="1"/>
  <c r="BF65" i="1"/>
  <c r="BE65" i="1"/>
  <c r="BD65" i="1"/>
  <c r="BC65" i="1"/>
  <c r="BB65" i="1"/>
  <c r="BA65" i="1"/>
  <c r="AZ65" i="1"/>
  <c r="AY65" i="1"/>
  <c r="AX65" i="1"/>
  <c r="AW65" i="1"/>
  <c r="AT65" i="1"/>
  <c r="BH64" i="1"/>
  <c r="BG64" i="1"/>
  <c r="BF64" i="1"/>
  <c r="BE64" i="1"/>
  <c r="BD64" i="1"/>
  <c r="BC64" i="1"/>
  <c r="BB64" i="1"/>
  <c r="BA64" i="1"/>
  <c r="AZ64" i="1"/>
  <c r="AY64" i="1"/>
  <c r="AX64" i="1"/>
  <c r="AW64" i="1"/>
  <c r="AT64" i="1"/>
  <c r="BH63" i="1"/>
  <c r="BG63" i="1"/>
  <c r="BF63" i="1"/>
  <c r="BE63" i="1"/>
  <c r="BD63" i="1"/>
  <c r="BC63" i="1"/>
  <c r="BB63" i="1"/>
  <c r="BA63" i="1"/>
  <c r="AZ63" i="1"/>
  <c r="AY63" i="1"/>
  <c r="AX63" i="1"/>
  <c r="AW63" i="1"/>
  <c r="AT63" i="1"/>
  <c r="BH62" i="1"/>
  <c r="BG62" i="1"/>
  <c r="BF62" i="1"/>
  <c r="BE62" i="1"/>
  <c r="BD62" i="1"/>
  <c r="BC62" i="1"/>
  <c r="BB62" i="1"/>
  <c r="BA62" i="1"/>
  <c r="AZ62" i="1"/>
  <c r="AY62" i="1"/>
  <c r="AX62" i="1"/>
  <c r="AW62" i="1"/>
  <c r="AT62" i="1"/>
  <c r="BH61" i="1"/>
  <c r="BG61" i="1"/>
  <c r="BF61" i="1"/>
  <c r="BE61" i="1"/>
  <c r="BD61" i="1"/>
  <c r="BC61" i="1"/>
  <c r="BB61" i="1"/>
  <c r="BA61" i="1"/>
  <c r="AZ61" i="1"/>
  <c r="AY61" i="1"/>
  <c r="AX61" i="1"/>
  <c r="AW61" i="1"/>
  <c r="AT61" i="1"/>
  <c r="BH60" i="1"/>
  <c r="BG60" i="1"/>
  <c r="BF60" i="1"/>
  <c r="BB60" i="1"/>
  <c r="BA60" i="1"/>
  <c r="AZ60" i="1"/>
  <c r="AY60" i="1"/>
  <c r="AX60" i="1"/>
  <c r="AW60" i="1"/>
  <c r="AE60" i="1"/>
  <c r="AC60" i="1"/>
  <c r="BD60" i="1" s="1"/>
  <c r="AA60" i="1"/>
  <c r="BC60" i="1" s="1"/>
  <c r="BH59" i="1"/>
  <c r="BG59" i="1"/>
  <c r="BF59" i="1"/>
  <c r="BE59" i="1"/>
  <c r="BD59" i="1"/>
  <c r="BC59" i="1"/>
  <c r="BB59" i="1"/>
  <c r="BA59" i="1"/>
  <c r="AZ59" i="1"/>
  <c r="AY59" i="1"/>
  <c r="AX59" i="1"/>
  <c r="AW59" i="1"/>
  <c r="AT59" i="1"/>
  <c r="BH58" i="1"/>
  <c r="BG58" i="1"/>
  <c r="BF58" i="1"/>
  <c r="BE58" i="1"/>
  <c r="BD58" i="1"/>
  <c r="BC58" i="1"/>
  <c r="BB58" i="1"/>
  <c r="BA58" i="1"/>
  <c r="AZ58" i="1"/>
  <c r="AY58" i="1"/>
  <c r="AX58" i="1"/>
  <c r="AW58" i="1"/>
  <c r="AT58" i="1"/>
  <c r="BH57" i="1"/>
  <c r="BG57" i="1"/>
  <c r="BF57" i="1"/>
  <c r="BE57" i="1"/>
  <c r="BD57" i="1"/>
  <c r="BC57" i="1"/>
  <c r="BB57" i="1"/>
  <c r="BA57" i="1"/>
  <c r="AZ57" i="1"/>
  <c r="S57" i="1"/>
  <c r="AY57" i="1" s="1"/>
  <c r="Q57" i="1"/>
  <c r="AX57" i="1" s="1"/>
  <c r="O57" i="1"/>
  <c r="AW57" i="1" s="1"/>
  <c r="BH56" i="1"/>
  <c r="BG56" i="1"/>
  <c r="BF56" i="1"/>
  <c r="AY56" i="1"/>
  <c r="AX56" i="1"/>
  <c r="AW56" i="1"/>
  <c r="AE56" i="1"/>
  <c r="BE56" i="1" s="1"/>
  <c r="AC56" i="1"/>
  <c r="BD56" i="1" s="1"/>
  <c r="AA56" i="1"/>
  <c r="BC56" i="1" s="1"/>
  <c r="Y56" i="1"/>
  <c r="BB56" i="1" s="1"/>
  <c r="W56" i="1"/>
  <c r="BA56" i="1" s="1"/>
  <c r="U56" i="1"/>
  <c r="AZ56" i="1" s="1"/>
  <c r="BH55" i="1"/>
  <c r="BG55" i="1"/>
  <c r="BF55" i="1"/>
  <c r="AY55" i="1"/>
  <c r="AX55" i="1"/>
  <c r="AW55" i="1"/>
  <c r="AE55" i="1"/>
  <c r="BE55" i="1" s="1"/>
  <c r="AC55" i="1"/>
  <c r="BD55" i="1" s="1"/>
  <c r="AA55" i="1"/>
  <c r="BC55" i="1" s="1"/>
  <c r="Y55" i="1"/>
  <c r="BB55" i="1" s="1"/>
  <c r="W55" i="1"/>
  <c r="BA55" i="1" s="1"/>
  <c r="U55" i="1"/>
  <c r="AZ55" i="1" s="1"/>
  <c r="BH54" i="1"/>
  <c r="BG54" i="1"/>
  <c r="BF54" i="1"/>
  <c r="AY54" i="1"/>
  <c r="AX54" i="1"/>
  <c r="AW54" i="1"/>
  <c r="AE54" i="1"/>
  <c r="BE54" i="1" s="1"/>
  <c r="AC54" i="1"/>
  <c r="AA54" i="1"/>
  <c r="BC54" i="1" s="1"/>
  <c r="Y54" i="1"/>
  <c r="BB54" i="1" s="1"/>
  <c r="W54" i="1"/>
  <c r="BA54" i="1" s="1"/>
  <c r="U54" i="1"/>
  <c r="AZ54" i="1" s="1"/>
  <c r="BH53" i="1"/>
  <c r="BG53" i="1"/>
  <c r="BF53" i="1"/>
  <c r="BE53" i="1"/>
  <c r="BD53" i="1"/>
  <c r="BC53" i="1"/>
  <c r="BB53" i="1"/>
  <c r="BA53" i="1"/>
  <c r="AZ53" i="1"/>
  <c r="AY53" i="1"/>
  <c r="AX53" i="1"/>
  <c r="AW53" i="1"/>
  <c r="AT53" i="1"/>
  <c r="BH52" i="1"/>
  <c r="BG52" i="1"/>
  <c r="BF52" i="1"/>
  <c r="BE52" i="1"/>
  <c r="BD52" i="1"/>
  <c r="BC52" i="1"/>
  <c r="BB52" i="1"/>
  <c r="BA52" i="1"/>
  <c r="AZ52" i="1"/>
  <c r="AY52" i="1"/>
  <c r="AX52" i="1"/>
  <c r="AW52" i="1"/>
  <c r="AT52" i="1"/>
  <c r="BH51" i="1"/>
  <c r="BG51" i="1"/>
  <c r="BF51" i="1"/>
  <c r="BE51" i="1"/>
  <c r="BD51" i="1"/>
  <c r="BC51" i="1"/>
  <c r="BA51" i="1"/>
  <c r="AZ51" i="1"/>
  <c r="AY51" i="1"/>
  <c r="AX51" i="1"/>
  <c r="AW51" i="1"/>
  <c r="Y51" i="1"/>
  <c r="BB51" i="1" s="1"/>
  <c r="BH50" i="1"/>
  <c r="BG50" i="1"/>
  <c r="BF50" i="1"/>
  <c r="BD50" i="1"/>
  <c r="BC50" i="1"/>
  <c r="BA50" i="1"/>
  <c r="AZ50" i="1"/>
  <c r="AY50" i="1"/>
  <c r="AX50" i="1"/>
  <c r="AW50" i="1"/>
  <c r="AE50" i="1"/>
  <c r="BE50" i="1" s="1"/>
  <c r="Y50" i="1"/>
  <c r="BB50" i="1" s="1"/>
  <c r="BH49" i="1"/>
  <c r="BG49" i="1"/>
  <c r="BF49" i="1"/>
  <c r="BE49" i="1"/>
  <c r="BD49" i="1"/>
  <c r="BC49" i="1"/>
  <c r="BA49" i="1"/>
  <c r="AZ49" i="1"/>
  <c r="AY49" i="1"/>
  <c r="AX49" i="1"/>
  <c r="AW49" i="1"/>
  <c r="Y49" i="1"/>
  <c r="BB49" i="1" s="1"/>
  <c r="BH48" i="1"/>
  <c r="BG48" i="1"/>
  <c r="BF48" i="1"/>
  <c r="AY48" i="1"/>
  <c r="AX48" i="1"/>
  <c r="AW48" i="1"/>
  <c r="AE48" i="1"/>
  <c r="BE48" i="1" s="1"/>
  <c r="AC48" i="1"/>
  <c r="BD48" i="1" s="1"/>
  <c r="AA48" i="1"/>
  <c r="BC48" i="1" s="1"/>
  <c r="Y48" i="1"/>
  <c r="BB48" i="1" s="1"/>
  <c r="W48" i="1"/>
  <c r="BA48" i="1" s="1"/>
  <c r="U48" i="1"/>
  <c r="BH47" i="1"/>
  <c r="BG47" i="1"/>
  <c r="BF47" i="1"/>
  <c r="AY47" i="1"/>
  <c r="AX47" i="1"/>
  <c r="AW47" i="1"/>
  <c r="AE47" i="1"/>
  <c r="BE47" i="1" s="1"/>
  <c r="AC47" i="1"/>
  <c r="BD47" i="1" s="1"/>
  <c r="AA47" i="1"/>
  <c r="BC47" i="1" s="1"/>
  <c r="Y47" i="1"/>
  <c r="BB47" i="1" s="1"/>
  <c r="W47" i="1"/>
  <c r="BA47" i="1" s="1"/>
  <c r="U47" i="1"/>
  <c r="AZ47" i="1" s="1"/>
  <c r="BH46" i="1"/>
  <c r="BG46" i="1"/>
  <c r="BF46" i="1"/>
  <c r="BE46" i="1"/>
  <c r="BD46" i="1"/>
  <c r="BC46" i="1"/>
  <c r="BB46" i="1"/>
  <c r="BA46" i="1"/>
  <c r="AZ46" i="1"/>
  <c r="AY46" i="1"/>
  <c r="AX46" i="1"/>
  <c r="AW46" i="1"/>
  <c r="AT46" i="1"/>
  <c r="BH45" i="1"/>
  <c r="BG45" i="1"/>
  <c r="BF45" i="1"/>
  <c r="BE45" i="1"/>
  <c r="BD45" i="1"/>
  <c r="BC45" i="1"/>
  <c r="BB45" i="1"/>
  <c r="BA45" i="1"/>
  <c r="AZ45" i="1"/>
  <c r="AY45" i="1"/>
  <c r="AX45" i="1"/>
  <c r="AW45" i="1"/>
  <c r="AT45" i="1"/>
  <c r="BH44" i="1"/>
  <c r="BG44" i="1"/>
  <c r="BF44" i="1"/>
  <c r="BE44" i="1"/>
  <c r="BD44" i="1"/>
  <c r="BC44" i="1"/>
  <c r="BB44" i="1"/>
  <c r="BA44" i="1"/>
  <c r="AZ44" i="1"/>
  <c r="AY44" i="1"/>
  <c r="AX44" i="1"/>
  <c r="AW44" i="1"/>
  <c r="AT44" i="1"/>
  <c r="BH43" i="1"/>
  <c r="BG43" i="1"/>
  <c r="BF43" i="1"/>
  <c r="BE43" i="1"/>
  <c r="BD43" i="1"/>
  <c r="BC43" i="1"/>
  <c r="BB43" i="1"/>
  <c r="BA43" i="1"/>
  <c r="AZ43" i="1"/>
  <c r="AY43" i="1"/>
  <c r="AX43" i="1"/>
  <c r="AW43" i="1"/>
  <c r="AT43" i="1"/>
  <c r="BH42" i="1"/>
  <c r="BG42" i="1"/>
  <c r="BF42" i="1"/>
  <c r="BE42" i="1"/>
  <c r="BD42" i="1"/>
  <c r="BC42" i="1"/>
  <c r="BB42" i="1"/>
  <c r="BA42" i="1"/>
  <c r="AZ42" i="1"/>
  <c r="AY42" i="1"/>
  <c r="AX42" i="1"/>
  <c r="AW42" i="1"/>
  <c r="AT42" i="1"/>
  <c r="BH41" i="1"/>
  <c r="BG41" i="1"/>
  <c r="BF41" i="1"/>
  <c r="BE41" i="1"/>
  <c r="BD41" i="1"/>
  <c r="BC41" i="1"/>
  <c r="BB41" i="1"/>
  <c r="BA41" i="1"/>
  <c r="AZ41" i="1"/>
  <c r="AY41" i="1"/>
  <c r="AX41" i="1"/>
  <c r="AW41" i="1"/>
  <c r="AT41" i="1"/>
  <c r="BH40" i="1"/>
  <c r="BG40" i="1"/>
  <c r="BF40" i="1"/>
  <c r="BE40" i="1"/>
  <c r="BD40" i="1"/>
  <c r="BC40" i="1"/>
  <c r="BB40" i="1"/>
  <c r="BA40" i="1"/>
  <c r="AZ40" i="1"/>
  <c r="AY40" i="1"/>
  <c r="AX40" i="1"/>
  <c r="AW40" i="1"/>
  <c r="AT40" i="1"/>
  <c r="BH39" i="1"/>
  <c r="BG39" i="1"/>
  <c r="BF39" i="1"/>
  <c r="BE39" i="1"/>
  <c r="BD39" i="1"/>
  <c r="BC39" i="1"/>
  <c r="BB39" i="1"/>
  <c r="BA39" i="1"/>
  <c r="AZ39" i="1"/>
  <c r="AY39" i="1"/>
  <c r="AX39" i="1"/>
  <c r="AW39" i="1"/>
  <c r="AT39" i="1"/>
  <c r="BH38" i="1"/>
  <c r="BG38" i="1"/>
  <c r="BF38" i="1"/>
  <c r="BE38" i="1"/>
  <c r="BD38" i="1"/>
  <c r="BC38" i="1"/>
  <c r="BB38" i="1"/>
  <c r="BA38" i="1"/>
  <c r="AZ38" i="1"/>
  <c r="AY38" i="1"/>
  <c r="AX38" i="1"/>
  <c r="AW38" i="1"/>
  <c r="AT38" i="1"/>
  <c r="BH37" i="1"/>
  <c r="BG37" i="1"/>
  <c r="BF37" i="1"/>
  <c r="BE37" i="1"/>
  <c r="BD37" i="1"/>
  <c r="BC37" i="1"/>
  <c r="BB37" i="1"/>
  <c r="BA37" i="1"/>
  <c r="AZ37" i="1"/>
  <c r="AY37" i="1"/>
  <c r="AX37" i="1"/>
  <c r="AW37" i="1"/>
  <c r="AT37" i="1"/>
  <c r="X37" i="1"/>
  <c r="BH36" i="1"/>
  <c r="BG36" i="1"/>
  <c r="BF36" i="1"/>
  <c r="BE36" i="1"/>
  <c r="BD36" i="1"/>
  <c r="BC36" i="1"/>
  <c r="BB36" i="1"/>
  <c r="BA36" i="1"/>
  <c r="AZ36" i="1"/>
  <c r="AY36" i="1"/>
  <c r="AX36" i="1"/>
  <c r="AW36" i="1"/>
  <c r="AT36" i="1"/>
  <c r="BH35" i="1"/>
  <c r="BG35" i="1"/>
  <c r="BF35" i="1"/>
  <c r="BE35" i="1"/>
  <c r="BD35" i="1"/>
  <c r="BC35" i="1"/>
  <c r="BB35" i="1"/>
  <c r="BA35" i="1"/>
  <c r="AZ35" i="1"/>
  <c r="AY35" i="1"/>
  <c r="AX35" i="1"/>
  <c r="AW35" i="1"/>
  <c r="AT35" i="1"/>
  <c r="BH34" i="1"/>
  <c r="BG34" i="1"/>
  <c r="BF34" i="1"/>
  <c r="BE34" i="1"/>
  <c r="BD34" i="1"/>
  <c r="BC34" i="1"/>
  <c r="BB34" i="1"/>
  <c r="BA34" i="1"/>
  <c r="AZ34" i="1"/>
  <c r="AY34" i="1"/>
  <c r="AX34" i="1"/>
  <c r="AW34" i="1"/>
  <c r="AT34" i="1"/>
  <c r="BH33" i="1"/>
  <c r="BG33" i="1"/>
  <c r="BF33" i="1"/>
  <c r="BE33" i="1"/>
  <c r="BD33" i="1"/>
  <c r="BC33" i="1"/>
  <c r="BB33" i="1"/>
  <c r="BA33" i="1"/>
  <c r="AZ33" i="1"/>
  <c r="AY33" i="1"/>
  <c r="AX33" i="1"/>
  <c r="AW33" i="1"/>
  <c r="AT33" i="1"/>
  <c r="BH32" i="1"/>
  <c r="BG32" i="1"/>
  <c r="BF32" i="1"/>
  <c r="BE32" i="1"/>
  <c r="BD32" i="1"/>
  <c r="BC32" i="1"/>
  <c r="BB32" i="1"/>
  <c r="BA32" i="1"/>
  <c r="AZ32" i="1"/>
  <c r="AY32" i="1"/>
  <c r="AX32" i="1"/>
  <c r="AW32" i="1"/>
  <c r="AT32" i="1"/>
  <c r="BH31" i="1"/>
  <c r="BG31" i="1"/>
  <c r="BF31" i="1"/>
  <c r="BE31" i="1"/>
  <c r="BD31" i="1"/>
  <c r="BC31" i="1"/>
  <c r="BB31" i="1"/>
  <c r="BA31" i="1"/>
  <c r="AZ31" i="1"/>
  <c r="AY31" i="1"/>
  <c r="AX31" i="1"/>
  <c r="AW31" i="1"/>
  <c r="AT31" i="1"/>
  <c r="BH30" i="1"/>
  <c r="BG30" i="1"/>
  <c r="BF30" i="1"/>
  <c r="BE30" i="1"/>
  <c r="BD30" i="1"/>
  <c r="BC30" i="1"/>
  <c r="BB30" i="1"/>
  <c r="BA30" i="1"/>
  <c r="AZ30" i="1"/>
  <c r="AY30" i="1"/>
  <c r="AX30" i="1"/>
  <c r="AW30" i="1"/>
  <c r="AT30" i="1"/>
  <c r="BH29" i="1"/>
  <c r="BG29" i="1"/>
  <c r="BF29" i="1"/>
  <c r="BE29" i="1"/>
  <c r="BD29" i="1"/>
  <c r="BC29" i="1"/>
  <c r="BB29" i="1"/>
  <c r="BA29" i="1"/>
  <c r="AZ29" i="1"/>
  <c r="AY29" i="1"/>
  <c r="AX29" i="1"/>
  <c r="AW29" i="1"/>
  <c r="AT29" i="1"/>
  <c r="BH28" i="1"/>
  <c r="BG28" i="1"/>
  <c r="BF28" i="1"/>
  <c r="BE28" i="1"/>
  <c r="BD28" i="1"/>
  <c r="BC28" i="1"/>
  <c r="BB28" i="1"/>
  <c r="BA28" i="1"/>
  <c r="AZ28" i="1"/>
  <c r="AY28" i="1"/>
  <c r="AX28" i="1"/>
  <c r="AW28" i="1"/>
  <c r="AT28" i="1"/>
  <c r="BH27" i="1"/>
  <c r="BG27" i="1"/>
  <c r="BF27" i="1"/>
  <c r="BE27" i="1"/>
  <c r="BD27" i="1"/>
  <c r="BC27" i="1"/>
  <c r="BB27" i="1"/>
  <c r="BA27" i="1"/>
  <c r="AZ27" i="1"/>
  <c r="AY27" i="1"/>
  <c r="AX27" i="1"/>
  <c r="AW27" i="1"/>
  <c r="AT27" i="1"/>
  <c r="BH26" i="1"/>
  <c r="BG26" i="1"/>
  <c r="BF26" i="1"/>
  <c r="BE26" i="1"/>
  <c r="BD26" i="1"/>
  <c r="BC26" i="1"/>
  <c r="AY26" i="1"/>
  <c r="AX26" i="1"/>
  <c r="AW26" i="1"/>
  <c r="Y26" i="1"/>
  <c r="BB26" i="1" s="1"/>
  <c r="W26" i="1"/>
  <c r="BA26" i="1" s="1"/>
  <c r="U26" i="1"/>
  <c r="AZ26" i="1" s="1"/>
  <c r="BH25" i="1"/>
  <c r="BG25" i="1"/>
  <c r="BF25" i="1"/>
  <c r="BE25" i="1"/>
  <c r="BD25" i="1"/>
  <c r="BC25" i="1"/>
  <c r="AX25" i="1"/>
  <c r="Y25" i="1"/>
  <c r="BB25" i="1" s="1"/>
  <c r="W25" i="1"/>
  <c r="BA25" i="1" s="1"/>
  <c r="U25" i="1"/>
  <c r="AZ25" i="1" s="1"/>
  <c r="S25" i="1"/>
  <c r="AY25" i="1" s="1"/>
  <c r="O25" i="1"/>
  <c r="BH24" i="1"/>
  <c r="BG24" i="1"/>
  <c r="BF24" i="1"/>
  <c r="BE24" i="1"/>
  <c r="BD24" i="1"/>
  <c r="BC24" i="1"/>
  <c r="BB24" i="1"/>
  <c r="BA24" i="1"/>
  <c r="AZ24" i="1"/>
  <c r="AY24" i="1"/>
  <c r="AW24" i="1"/>
  <c r="Q24" i="1"/>
  <c r="AX24" i="1" s="1"/>
  <c r="BH23" i="1"/>
  <c r="BG23" i="1"/>
  <c r="BF23" i="1"/>
  <c r="BE23" i="1"/>
  <c r="BD23" i="1"/>
  <c r="BC23" i="1"/>
  <c r="AW23" i="1"/>
  <c r="Y23" i="1"/>
  <c r="W23" i="1"/>
  <c r="BA23" i="1" s="1"/>
  <c r="U23" i="1"/>
  <c r="AZ23" i="1" s="1"/>
  <c r="S23" i="1"/>
  <c r="AY23" i="1" s="1"/>
  <c r="Q23" i="1"/>
  <c r="AX23" i="1" s="1"/>
  <c r="BH22" i="1"/>
  <c r="BG22" i="1"/>
  <c r="BF22" i="1"/>
  <c r="BE22" i="1"/>
  <c r="BD22" i="1"/>
  <c r="BC22" i="1"/>
  <c r="AW22" i="1"/>
  <c r="Y22" i="1"/>
  <c r="BB22" i="1" s="1"/>
  <c r="W22" i="1"/>
  <c r="BA22" i="1" s="1"/>
  <c r="U22" i="1"/>
  <c r="AZ22" i="1" s="1"/>
  <c r="S22" i="1"/>
  <c r="AY22" i="1" s="1"/>
  <c r="Q22" i="1"/>
  <c r="BH21" i="1"/>
  <c r="BG21" i="1"/>
  <c r="BF21" i="1"/>
  <c r="BE21" i="1"/>
  <c r="BD21" i="1"/>
  <c r="BC21" i="1"/>
  <c r="AW21" i="1"/>
  <c r="Y21" i="1"/>
  <c r="BB21" i="1" s="1"/>
  <c r="W21" i="1"/>
  <c r="BA21" i="1" s="1"/>
  <c r="U21" i="1"/>
  <c r="AZ21" i="1" s="1"/>
  <c r="S21" i="1"/>
  <c r="AY21" i="1" s="1"/>
  <c r="Q21" i="1"/>
  <c r="AX21" i="1" s="1"/>
  <c r="BH20" i="1"/>
  <c r="BG20" i="1"/>
  <c r="BF20" i="1"/>
  <c r="BE20" i="1"/>
  <c r="BD20" i="1"/>
  <c r="BC20" i="1"/>
  <c r="AW20" i="1"/>
  <c r="AS20" i="1"/>
  <c r="Y20" i="1"/>
  <c r="BB20" i="1" s="1"/>
  <c r="W20" i="1"/>
  <c r="BA20" i="1" s="1"/>
  <c r="U20" i="1"/>
  <c r="AZ20" i="1" s="1"/>
  <c r="S20" i="1"/>
  <c r="AY20" i="1" s="1"/>
  <c r="Q20" i="1"/>
  <c r="BH19" i="1"/>
  <c r="BG19" i="1"/>
  <c r="BF19" i="1"/>
  <c r="BE19" i="1"/>
  <c r="BD19" i="1"/>
  <c r="BC19" i="1"/>
  <c r="AS19" i="1"/>
  <c r="Y19" i="1"/>
  <c r="W19" i="1"/>
  <c r="BA19" i="1" s="1"/>
  <c r="U19" i="1"/>
  <c r="AZ19" i="1" s="1"/>
  <c r="S19" i="1"/>
  <c r="AY19" i="1" s="1"/>
  <c r="Q19" i="1"/>
  <c r="AX19" i="1" s="1"/>
  <c r="O19" i="1"/>
  <c r="AW19" i="1" s="1"/>
  <c r="BH18" i="1"/>
  <c r="BG18" i="1"/>
  <c r="BF18" i="1"/>
  <c r="BE18" i="1"/>
  <c r="BD18" i="1"/>
  <c r="BC18" i="1"/>
  <c r="BB18" i="1"/>
  <c r="BA18" i="1"/>
  <c r="AZ18" i="1"/>
  <c r="AY18" i="1"/>
  <c r="AX18" i="1"/>
  <c r="AW18" i="1"/>
  <c r="AT18" i="1"/>
  <c r="AS18" i="1"/>
  <c r="BH17" i="1"/>
  <c r="BG17" i="1"/>
  <c r="BF17" i="1"/>
  <c r="BC17" i="1"/>
  <c r="AY17" i="1"/>
  <c r="AX17" i="1"/>
  <c r="AW17" i="1"/>
  <c r="AE17" i="1"/>
  <c r="AS17" i="1" s="1"/>
  <c r="AC17" i="1"/>
  <c r="BD17" i="1" s="1"/>
  <c r="Y17" i="1"/>
  <c r="BB17" i="1" s="1"/>
  <c r="W17" i="1"/>
  <c r="BA17" i="1" s="1"/>
  <c r="U17" i="1"/>
  <c r="AZ17" i="1" s="1"/>
  <c r="BH16" i="1"/>
  <c r="BG16" i="1"/>
  <c r="BF16" i="1"/>
  <c r="AY16" i="1"/>
  <c r="AX16" i="1"/>
  <c r="AE16" i="1"/>
  <c r="AS16" i="1" s="1"/>
  <c r="AC16" i="1"/>
  <c r="BD16" i="1" s="1"/>
  <c r="AA16" i="1"/>
  <c r="BC16" i="1" s="1"/>
  <c r="Y16" i="1"/>
  <c r="BB16" i="1" s="1"/>
  <c r="W16" i="1"/>
  <c r="BA16" i="1" s="1"/>
  <c r="U16" i="1"/>
  <c r="AZ16" i="1" s="1"/>
  <c r="O16" i="1"/>
  <c r="AW16" i="1" s="1"/>
  <c r="BH15" i="1"/>
  <c r="BG15" i="1"/>
  <c r="BF15" i="1"/>
  <c r="BE15" i="1"/>
  <c r="BA15" i="1"/>
  <c r="AZ15" i="1"/>
  <c r="AY15" i="1"/>
  <c r="AX15" i="1"/>
  <c r="AW15" i="1"/>
  <c r="AS15" i="1"/>
  <c r="AC15" i="1"/>
  <c r="BD15" i="1" s="1"/>
  <c r="AA15" i="1"/>
  <c r="BC15" i="1" s="1"/>
  <c r="Y15" i="1"/>
  <c r="BB15" i="1" s="1"/>
  <c r="BH14" i="1"/>
  <c r="BG14" i="1"/>
  <c r="BF14" i="1"/>
  <c r="BA14" i="1"/>
  <c r="AZ14" i="1"/>
  <c r="AY14" i="1"/>
  <c r="AX14" i="1"/>
  <c r="AW14" i="1"/>
  <c r="BH13" i="1"/>
  <c r="BG13" i="1"/>
  <c r="BF13" i="1"/>
  <c r="BE13" i="1"/>
  <c r="BD13" i="1"/>
  <c r="BC13" i="1"/>
  <c r="BB13" i="1"/>
  <c r="BA13" i="1"/>
  <c r="AZ13" i="1"/>
  <c r="AY13" i="1"/>
  <c r="AX13" i="1"/>
  <c r="AW13" i="1"/>
  <c r="AE13" i="1"/>
  <c r="BE14" i="1" s="1"/>
  <c r="AC13" i="1"/>
  <c r="BD14" i="1" s="1"/>
  <c r="AA13" i="1"/>
  <c r="Y13" i="1"/>
  <c r="BB14" i="1" s="1"/>
  <c r="W13" i="1"/>
  <c r="BH12" i="1"/>
  <c r="BG12" i="1"/>
  <c r="BF12" i="1"/>
  <c r="AW12" i="1"/>
  <c r="AE12" i="1"/>
  <c r="AC12" i="1"/>
  <c r="BD12" i="1" s="1"/>
  <c r="AA12" i="1"/>
  <c r="BC12" i="1" s="1"/>
  <c r="Y12" i="1"/>
  <c r="BB12" i="1" s="1"/>
  <c r="W12" i="1"/>
  <c r="BA12" i="1" s="1"/>
  <c r="U12" i="1"/>
  <c r="AZ12" i="1" s="1"/>
  <c r="S12" i="1"/>
  <c r="AY12" i="1" s="1"/>
  <c r="Q12" i="1"/>
  <c r="AX12" i="1" s="1"/>
  <c r="BH11" i="1"/>
  <c r="BG11" i="1"/>
  <c r="BF11" i="1"/>
  <c r="BE11" i="1"/>
  <c r="BD11" i="1"/>
  <c r="BC11" i="1"/>
  <c r="AY11" i="1"/>
  <c r="AX11" i="1"/>
  <c r="AW11" i="1"/>
  <c r="Y11" i="1"/>
  <c r="W11" i="1"/>
  <c r="BA11" i="1" s="1"/>
  <c r="U11" i="1"/>
  <c r="AZ11" i="1" s="1"/>
  <c r="BH10" i="1"/>
  <c r="BG10" i="1"/>
  <c r="BF10" i="1"/>
  <c r="BE10" i="1"/>
  <c r="BD10" i="1"/>
  <c r="BC10" i="1"/>
  <c r="BB10" i="1"/>
  <c r="BA10" i="1"/>
  <c r="AZ10" i="1"/>
  <c r="AY10" i="1"/>
  <c r="AX10" i="1"/>
  <c r="O10" i="1"/>
  <c r="AW10" i="1" s="1"/>
  <c r="BH9" i="1"/>
  <c r="BG9" i="1"/>
  <c r="BF9" i="1"/>
  <c r="BE9" i="1"/>
  <c r="BD9" i="1"/>
  <c r="BC9" i="1"/>
  <c r="Y9" i="1"/>
  <c r="W9" i="1"/>
  <c r="BA9" i="1" s="1"/>
  <c r="U9" i="1"/>
  <c r="AZ9" i="1" s="1"/>
  <c r="S9" i="1"/>
  <c r="AY9" i="1" s="1"/>
  <c r="Q9" i="1"/>
  <c r="AX9" i="1" s="1"/>
  <c r="O9" i="1"/>
  <c r="AW9" i="1" s="1"/>
  <c r="BH8" i="1"/>
  <c r="BG8" i="1"/>
  <c r="BF8" i="1"/>
  <c r="BE8" i="1"/>
  <c r="BD8" i="1"/>
  <c r="BB8" i="1"/>
  <c r="BA8" i="1"/>
  <c r="AZ8" i="1"/>
  <c r="AY8" i="1"/>
  <c r="AX8" i="1"/>
  <c r="AW8" i="1"/>
  <c r="AA8" i="1"/>
  <c r="AT8" i="1" s="1"/>
  <c r="BH7" i="1"/>
  <c r="BG7" i="1"/>
  <c r="BF7" i="1"/>
  <c r="BE7" i="1"/>
  <c r="BD7" i="1"/>
  <c r="BC7" i="1"/>
  <c r="BB7" i="1"/>
  <c r="BA7" i="1"/>
  <c r="AZ7" i="1"/>
  <c r="AY7" i="1"/>
  <c r="AX7" i="1"/>
  <c r="AW7" i="1"/>
  <c r="AT7" i="1"/>
  <c r="BH6" i="1"/>
  <c r="BG6" i="1"/>
  <c r="BF6" i="1"/>
  <c r="BE6" i="1"/>
  <c r="BD6" i="1"/>
  <c r="AY6" i="1"/>
  <c r="AX6" i="1"/>
  <c r="AW6" i="1"/>
  <c r="AA6" i="1"/>
  <c r="BC6" i="1" s="1"/>
  <c r="Y6" i="1"/>
  <c r="BB6" i="1" s="1"/>
  <c r="W6" i="1"/>
  <c r="BA6" i="1" s="1"/>
  <c r="U6" i="1"/>
  <c r="BH5" i="1"/>
  <c r="BG5" i="1"/>
  <c r="BF5" i="1"/>
  <c r="BE5" i="1"/>
  <c r="BD5" i="1"/>
  <c r="BC5" i="1"/>
  <c r="Y5" i="1"/>
  <c r="W5" i="1"/>
  <c r="BA5" i="1" s="1"/>
  <c r="U5" i="1"/>
  <c r="AZ5" i="1" s="1"/>
  <c r="S5" i="1"/>
  <c r="AY5" i="1" s="1"/>
  <c r="Q5" i="1"/>
  <c r="AX5" i="1" s="1"/>
  <c r="O5" i="1"/>
  <c r="AW5" i="1" s="1"/>
  <c r="AT13" i="1" l="1"/>
  <c r="AU90" i="1"/>
  <c r="AT5" i="1"/>
  <c r="AW124" i="1" s="1"/>
  <c r="AU89" i="1"/>
  <c r="AT9" i="1"/>
  <c r="AT20" i="1"/>
  <c r="BE17" i="1"/>
  <c r="AU17" i="1" s="1"/>
  <c r="BE88" i="1"/>
  <c r="AU82" i="1"/>
  <c r="AU35" i="1"/>
  <c r="BB5" i="1"/>
  <c r="AU5" i="1" s="1"/>
  <c r="AU27" i="1"/>
  <c r="AU29" i="1"/>
  <c r="AT71" i="1"/>
  <c r="AT84" i="1"/>
  <c r="AU15" i="1"/>
  <c r="AU44" i="1"/>
  <c r="AT6" i="1"/>
  <c r="AU38" i="1"/>
  <c r="AT54" i="1"/>
  <c r="AU66" i="1"/>
  <c r="BE12" i="1"/>
  <c r="AU12" i="1" s="1"/>
  <c r="AT49" i="1"/>
  <c r="AU57" i="1"/>
  <c r="BE92" i="1"/>
  <c r="AU92" i="1" s="1"/>
  <c r="AU101" i="1"/>
  <c r="AU104" i="1"/>
  <c r="AU24" i="1"/>
  <c r="AU76" i="1"/>
  <c r="AT102" i="1"/>
  <c r="AT86" i="1"/>
  <c r="AT92" i="1"/>
  <c r="AU18" i="1"/>
  <c r="AU46" i="1"/>
  <c r="AU52" i="1"/>
  <c r="AU58" i="1"/>
  <c r="AU62" i="1"/>
  <c r="AZ6" i="1"/>
  <c r="AU6" i="1" s="1"/>
  <c r="AU28" i="1"/>
  <c r="AU65" i="1"/>
  <c r="AT73" i="1"/>
  <c r="AU100" i="1"/>
  <c r="BB9" i="1"/>
  <c r="AU9" i="1" s="1"/>
  <c r="AT11" i="1"/>
  <c r="AU36" i="1"/>
  <c r="AU43" i="1"/>
  <c r="AU45" i="1"/>
  <c r="AU61" i="1"/>
  <c r="AT80" i="1"/>
  <c r="BB103" i="1"/>
  <c r="AU103" i="1" s="1"/>
  <c r="AU7" i="1"/>
  <c r="AT10" i="1"/>
  <c r="AU33" i="1"/>
  <c r="AU42" i="1"/>
  <c r="AU49" i="1"/>
  <c r="AU50" i="1"/>
  <c r="AT51" i="1"/>
  <c r="AT55" i="1"/>
  <c r="BE60" i="1"/>
  <c r="AU60" i="1" s="1"/>
  <c r="AU71" i="1"/>
  <c r="AU94" i="1"/>
  <c r="AU95" i="1"/>
  <c r="AT104" i="1"/>
  <c r="AT22" i="1"/>
  <c r="AT25" i="1"/>
  <c r="AU32" i="1"/>
  <c r="AU41" i="1"/>
  <c r="AT48" i="1"/>
  <c r="AT50" i="1"/>
  <c r="AU55" i="1"/>
  <c r="AT57" i="1"/>
  <c r="AU68" i="1"/>
  <c r="AU69" i="1"/>
  <c r="AT70" i="1"/>
  <c r="AU75" i="1"/>
  <c r="AU77" i="1"/>
  <c r="AU80" i="1"/>
  <c r="AU81" i="1"/>
  <c r="AT14" i="1"/>
  <c r="AT19" i="1"/>
  <c r="AU53" i="1"/>
  <c r="AU79" i="1"/>
  <c r="AU37" i="1"/>
  <c r="AU51" i="1"/>
  <c r="AU72" i="1"/>
  <c r="AZ84" i="1"/>
  <c r="AU84" i="1" s="1"/>
  <c r="AU99" i="1"/>
  <c r="AU10" i="1"/>
  <c r="AU34" i="1"/>
  <c r="AU78" i="1"/>
  <c r="AU96" i="1"/>
  <c r="AT12" i="1"/>
  <c r="AT23" i="1"/>
  <c r="AT26" i="1"/>
  <c r="AU31" i="1"/>
  <c r="AU40" i="1"/>
  <c r="AT56" i="1"/>
  <c r="AU67" i="1"/>
  <c r="AU74" i="1"/>
  <c r="AT87" i="1"/>
  <c r="AU13" i="1"/>
  <c r="AU30" i="1"/>
  <c r="AU39" i="1"/>
  <c r="AU59" i="1"/>
  <c r="AU63" i="1"/>
  <c r="AU64" i="1"/>
  <c r="BE70" i="1"/>
  <c r="AT88" i="1"/>
  <c r="AU91" i="1"/>
  <c r="AU56" i="1"/>
  <c r="AU21" i="1"/>
  <c r="AU102" i="1"/>
  <c r="AU26" i="1"/>
  <c r="AU25" i="1"/>
  <c r="AU47" i="1"/>
  <c r="AU85" i="1"/>
  <c r="AU93" i="1"/>
  <c r="BB11" i="1"/>
  <c r="AU11" i="1" s="1"/>
  <c r="BB19" i="1"/>
  <c r="AU19" i="1" s="1"/>
  <c r="AX20" i="1"/>
  <c r="AU20" i="1" s="1"/>
  <c r="AX22" i="1"/>
  <c r="AU22" i="1" s="1"/>
  <c r="BB23" i="1"/>
  <c r="AU23" i="1" s="1"/>
  <c r="AT16" i="1"/>
  <c r="AT21" i="1"/>
  <c r="AT24" i="1"/>
  <c r="AT47" i="1"/>
  <c r="BC8" i="1"/>
  <c r="AU8" i="1" s="1"/>
  <c r="AT15" i="1"/>
  <c r="BE16" i="1"/>
  <c r="AU16" i="1" s="1"/>
  <c r="AZ48" i="1"/>
  <c r="AU48" i="1" s="1"/>
  <c r="BD54" i="1"/>
  <c r="AU54" i="1" s="1"/>
  <c r="AZ70" i="1"/>
  <c r="AZ87" i="1"/>
  <c r="AU87" i="1" s="1"/>
  <c r="AX88" i="1"/>
  <c r="AT93" i="1"/>
  <c r="AW25" i="1"/>
  <c r="BC14" i="1"/>
  <c r="AU14" i="1" s="1"/>
  <c r="AZ86" i="1"/>
  <c r="AU86" i="1" s="1"/>
  <c r="AT85" i="1"/>
  <c r="BB73" i="1"/>
  <c r="AU73" i="1" s="1"/>
  <c r="AT17" i="1"/>
  <c r="AT60" i="1"/>
  <c r="AU88" i="1" l="1"/>
  <c r="AU70" i="1"/>
</calcChain>
</file>

<file path=xl/comments1.xml><?xml version="1.0" encoding="utf-8"?>
<comments xmlns="http://schemas.openxmlformats.org/spreadsheetml/2006/main">
  <authors>
    <author>Diana Alessandra Blanco Bernal</author>
    <author>Administrador</author>
    <author>Jorge Antonio Jimenez Vargas</author>
    <author>USER</author>
    <author>Diana.Blanco</author>
    <author/>
    <author>Yenny Maryori Ortiz Ramos</author>
    <author>Diana Gised Lopez Prada</author>
    <author>Carla Vanesa Navas Pulido</author>
    <author>carla vanessa navas pulido</author>
  </authors>
  <commentList>
    <comment ref="P5" authorId="0" shapeId="0">
      <text>
        <r>
          <rPr>
            <b/>
            <sz val="9"/>
            <color indexed="81"/>
            <rFont val="Tahoma"/>
            <family val="2"/>
          </rPr>
          <t>Diana Alessandra Blanco Bernal:</t>
        </r>
        <r>
          <rPr>
            <sz val="9"/>
            <color indexed="81"/>
            <rFont val="Tahoma"/>
            <family val="2"/>
          </rPr>
          <t xml:space="preserve">
Se solicito la información a gestión de costos en (2) dos oportunidades, nos encontramos atentos a la remisión de la información.
*El día 05 de junio de 2018, gestión financiera allega información solicitada.</t>
        </r>
      </text>
    </comment>
    <comment ref="R5" authorId="0" shapeId="0">
      <text>
        <r>
          <rPr>
            <b/>
            <sz val="9"/>
            <color indexed="81"/>
            <rFont val="Tahoma"/>
            <family val="2"/>
          </rPr>
          <t>Diana Alessandra Blanco Bernal:</t>
        </r>
        <r>
          <rPr>
            <sz val="9"/>
            <color indexed="81"/>
            <rFont val="Tahoma"/>
            <family val="2"/>
          </rPr>
          <t xml:space="preserve">
Se solicito la información a gestión de costos en (2) dos oportunidades, nos encontramos atentos a la remisión de la información.
*El día 05 de junio de 2018, gestión financiera allega información solicitada.</t>
        </r>
      </text>
    </comment>
    <comment ref="T5" authorId="0" shapeId="0">
      <text>
        <r>
          <rPr>
            <b/>
            <sz val="9"/>
            <color indexed="81"/>
            <rFont val="Tahoma"/>
            <family val="2"/>
          </rPr>
          <t>Diana Alessandra Blanco Bernal:</t>
        </r>
        <r>
          <rPr>
            <sz val="9"/>
            <color indexed="81"/>
            <rFont val="Tahoma"/>
            <family val="2"/>
          </rPr>
          <t xml:space="preserve">
Se solicito la información a gestión de costos en (2) dos oportunidades, nos encontramos atentos a la remisión de la información.
*El día 05 de junio de 2018, gestión financiera allega información solicitada.</t>
        </r>
      </text>
    </comment>
    <comment ref="AA5" authorId="0" shapeId="0">
      <text>
        <r>
          <rPr>
            <b/>
            <sz val="9"/>
            <color indexed="81"/>
            <rFont val="Tahoma"/>
            <family val="2"/>
          </rPr>
          <t>Diana Alessandra Blanco Bernal:</t>
        </r>
        <r>
          <rPr>
            <sz val="9"/>
            <color indexed="81"/>
            <rFont val="Tahoma"/>
            <family val="2"/>
          </rPr>
          <t xml:space="preserve">
Se requiere remitir documento en donde se toma la decisión de que la gestión financiera de la entidad reportara la información ocnforme a los criterios establecidos en la matriz de indicadores de gestión de la Empresa de Licores de Cundinamarca.</t>
        </r>
      </text>
    </comment>
    <comment ref="AC5" authorId="0" shapeId="0">
      <text>
        <r>
          <rPr>
            <b/>
            <sz val="9"/>
            <color indexed="81"/>
            <rFont val="Tahoma"/>
            <family val="2"/>
          </rPr>
          <t>Diana Alessandra Blanco Bernal:</t>
        </r>
        <r>
          <rPr>
            <sz val="9"/>
            <color indexed="81"/>
            <rFont val="Tahoma"/>
            <family val="2"/>
          </rPr>
          <t xml:space="preserve">
Se requiere remitir documento en donde se toma la decisión de que la gestión financiera de la entidad reportara la información ocnforme a los criterios establecidos en la matriz de indicadores de gestión de la Empresa de Licores de Cundinamarca.</t>
        </r>
      </text>
    </comment>
    <comment ref="AE5" authorId="0" shapeId="0">
      <text>
        <r>
          <rPr>
            <b/>
            <sz val="9"/>
            <color indexed="81"/>
            <rFont val="Tahoma"/>
            <family val="2"/>
          </rPr>
          <t>Diana Alessandra Blanco Bernal:</t>
        </r>
        <r>
          <rPr>
            <sz val="9"/>
            <color indexed="81"/>
            <rFont val="Tahoma"/>
            <family val="2"/>
          </rPr>
          <t xml:space="preserve">
Se requiere remitir documento en donde se toma la decisión de que la gestión financiera de la entidad reportara la información ocnforme a los criterios establecidos en la matriz de indicadores de gestión de la Empresa de Licores de Cundinamarca.</t>
        </r>
      </text>
    </comment>
    <comment ref="AM5" authorId="0" shapeId="0">
      <text>
        <r>
          <rPr>
            <b/>
            <sz val="9"/>
            <color indexed="81"/>
            <rFont val="Tahoma"/>
            <family val="2"/>
          </rPr>
          <t>Diana Alessandra Blanco Bernal:</t>
        </r>
        <r>
          <rPr>
            <sz val="9"/>
            <color indexed="81"/>
            <rFont val="Tahoma"/>
            <family val="2"/>
          </rPr>
          <t xml:space="preserve">
Valor taxativamente.</t>
        </r>
      </text>
    </comment>
    <comment ref="AB6" authorId="0" shapeId="0">
      <text>
        <r>
          <rPr>
            <b/>
            <sz val="9"/>
            <color indexed="81"/>
            <rFont val="Tahoma"/>
            <family val="2"/>
          </rPr>
          <t>Diana Alessandra Blanco Bernal:</t>
        </r>
        <r>
          <rPr>
            <sz val="9"/>
            <color indexed="81"/>
            <rFont val="Tahoma"/>
            <family val="2"/>
          </rPr>
          <t xml:space="preserve"> De acuerdo con las validaciones efectuadas es importante tener en cuenta las variables a medir, esto en lo que respecta a asesoría profesional, capacitación, inducción y reinducción a servidores públicos de acuerdo a solicitudes, se recomienda incluir un nuevo indicador con el fin de obtener resultados de la gestión referida en el presente inciso. 
</t>
        </r>
      </text>
    </comment>
    <comment ref="AC6" authorId="0" shapeId="0">
      <text>
        <r>
          <rPr>
            <b/>
            <sz val="9"/>
            <color indexed="81"/>
            <rFont val="Tahoma"/>
            <family val="2"/>
          </rPr>
          <t>Diana Alessandra Blanco Bernal:</t>
        </r>
        <r>
          <rPr>
            <sz val="9"/>
            <color indexed="81"/>
            <rFont val="Tahoma"/>
            <family val="2"/>
          </rPr>
          <t xml:space="preserve">
• Se requiere diligenciar el campo de conformidad con la formula matemática establecida para el indicador, tal y como se reporta en la medición para el mes de julio de 2018.</t>
        </r>
      </text>
    </comment>
    <comment ref="AD6" authorId="0" shapeId="0">
      <text>
        <r>
          <rPr>
            <b/>
            <sz val="9"/>
            <color indexed="81"/>
            <rFont val="Tahoma"/>
            <family val="2"/>
          </rPr>
          <t>Diana Alessandra Blanco Bernal:</t>
        </r>
        <r>
          <rPr>
            <sz val="9"/>
            <color indexed="81"/>
            <rFont val="Tahoma"/>
            <family val="2"/>
          </rPr>
          <t xml:space="preserve">
De acuerdo con las validaciones efectuadas es importante tener en cuenta las variables a medir, esto en lo que respecta a asesoría profesional, capacitación, inducción y reinducción a servidores públicos de acuerdo a solicitudes, se recomienda incluir un nuevo indicador con el fin de obtener resultados de la gestión referida en el presente inciso. 
</t>
        </r>
      </text>
    </comment>
    <comment ref="AE6" authorId="0" shapeId="0">
      <text>
        <r>
          <rPr>
            <b/>
            <sz val="9"/>
            <color indexed="81"/>
            <rFont val="Tahoma"/>
            <family val="2"/>
          </rPr>
          <t>Diana Alessandra Blanco Bernal:</t>
        </r>
        <r>
          <rPr>
            <sz val="9"/>
            <color indexed="81"/>
            <rFont val="Tahoma"/>
            <family val="2"/>
          </rPr>
          <t xml:space="preserve">
• Se requiere diligenciar el campo de conformidad con la formula matemática establecida para el indicador.</t>
        </r>
      </text>
    </comment>
    <comment ref="AF6" authorId="0" shapeId="0">
      <text>
        <r>
          <rPr>
            <b/>
            <sz val="9"/>
            <color indexed="81"/>
            <rFont val="Tahoma"/>
            <family val="2"/>
          </rPr>
          <t>Diana Alessandra Blanco Bernal:</t>
        </r>
        <r>
          <rPr>
            <sz val="9"/>
            <color indexed="81"/>
            <rFont val="Tahoma"/>
            <family val="2"/>
          </rPr>
          <t xml:space="preserve">
De acuerdo con las validaciones efectuadas es importante tener en cuenta las variables a medir, esto en lo que respecta a asesoría profesional, capacitación, inducción y reinducción a servidores públicos de acuerdo a solicitudes, se recomienda incluir un nuevo indicador con el fin de obtener resultados de la gestión referida en el presente inciso. 
</t>
        </r>
      </text>
    </comment>
    <comment ref="AG6" authorId="0" shapeId="0">
      <text>
        <r>
          <rPr>
            <b/>
            <sz val="9"/>
            <color indexed="81"/>
            <rFont val="Tahoma"/>
            <family val="2"/>
          </rPr>
          <t>Diana Alessandra Blanco Bernal:</t>
        </r>
        <r>
          <rPr>
            <sz val="9"/>
            <color indexed="81"/>
            <rFont val="Tahoma"/>
            <family val="2"/>
          </rPr>
          <t xml:space="preserve">
Se recomienda aplicar la fórmula matemática, la cual arrojara los resultados para los periodos de octubre, noviembre y diciembre de la vigencia 2018, con obtención de resultados del 95%, 98% y 100% respectivamente.</t>
        </r>
      </text>
    </comment>
    <comment ref="AI6" authorId="0" shapeId="0">
      <text>
        <r>
          <rPr>
            <b/>
            <sz val="9"/>
            <color indexed="81"/>
            <rFont val="Tahoma"/>
            <family val="2"/>
          </rPr>
          <t>Diana Alessandra Blanco Bernal:</t>
        </r>
        <r>
          <rPr>
            <sz val="9"/>
            <color indexed="81"/>
            <rFont val="Tahoma"/>
            <family val="2"/>
          </rPr>
          <t xml:space="preserve">
Se recomienda aplicar la fórmula matemática, la cual arrojara los resultados para los periodos de octubre, noviembre y diciembre de la vigencia 2018, con obtención de resultados del 95%, 98% y 100% respectivamente.</t>
        </r>
      </text>
    </comment>
    <comment ref="AK6" authorId="0" shapeId="0">
      <text>
        <r>
          <rPr>
            <b/>
            <sz val="9"/>
            <color indexed="81"/>
            <rFont val="Tahoma"/>
            <family val="2"/>
          </rPr>
          <t>Diana Alessandra Blanco Bernal:</t>
        </r>
        <r>
          <rPr>
            <sz val="9"/>
            <color indexed="81"/>
            <rFont val="Tahoma"/>
            <family val="2"/>
          </rPr>
          <t xml:space="preserve">
Se recomienda aplicar la fórmula matemática, la cual arrojara los resultados para los periodos de octubre, noviembre y diciembre de la vigencia 2018, con obtención de resultados del 95%, 98% y 100% respectivamente.</t>
        </r>
      </text>
    </comment>
    <comment ref="AA7" authorId="0" shapeId="0">
      <text>
        <r>
          <rPr>
            <b/>
            <sz val="9"/>
            <color indexed="81"/>
            <rFont val="Tahoma"/>
            <family val="2"/>
          </rPr>
          <t>Diana Alessandra Blanco Bernal:</t>
        </r>
        <r>
          <rPr>
            <sz val="9"/>
            <color indexed="81"/>
            <rFont val="Tahoma"/>
            <family val="2"/>
          </rPr>
          <t xml:space="preserve">
• Se requiere diligenciar el campo de conformidad con la formula matemática establecida para el indicador.
</t>
        </r>
      </text>
    </comment>
    <comment ref="AE7" authorId="0" shapeId="0">
      <text>
        <r>
          <rPr>
            <b/>
            <sz val="9"/>
            <color indexed="81"/>
            <rFont val="Tahoma"/>
            <family val="2"/>
          </rPr>
          <t>Diana Alessandra Blanco Bernal:</t>
        </r>
        <r>
          <rPr>
            <sz val="9"/>
            <color indexed="81"/>
            <rFont val="Tahoma"/>
            <family val="2"/>
          </rPr>
          <t xml:space="preserve">
Se requiere diligenciar el campo de conformidad con la formula matematica establecida para el indicador.</t>
        </r>
      </text>
    </comment>
    <comment ref="AF7" authorId="0" shapeId="0">
      <text>
        <r>
          <rPr>
            <b/>
            <sz val="9"/>
            <color indexed="81"/>
            <rFont val="Tahoma"/>
            <family val="2"/>
          </rPr>
          <t>Diana Alessandra Blanco Bernal:</t>
        </r>
        <r>
          <rPr>
            <sz val="9"/>
            <color indexed="81"/>
            <rFont val="Tahoma"/>
            <family val="2"/>
          </rPr>
          <t xml:space="preserve">
Es importante tener en cuenta que de acuerdo a la linea del tiempo a la frecuencia de análisis y medición.
Es importante tener en cuenta que a la actualidad 20 de noviembre de 2018, ya se tiene alcance a los resultados con corte octubre de 2018, por tanto se requiere reportar los resultados obtenidos teniendo en cuenta lo referido en el presente.
</t>
        </r>
      </text>
    </comment>
    <comment ref="AG7" authorId="0" shapeId="0">
      <text>
        <r>
          <rPr>
            <b/>
            <sz val="9"/>
            <color indexed="81"/>
            <rFont val="Tahoma"/>
            <family val="2"/>
          </rPr>
          <t>Diana Alessandra Blanco Bernal:</t>
        </r>
        <r>
          <rPr>
            <sz val="9"/>
            <color indexed="81"/>
            <rFont val="Tahoma"/>
            <family val="2"/>
          </rPr>
          <t xml:space="preserve">
8/10; 9/10; 100%, los anteriores factores obedecen a relación entre total gestiones reportadas y total gestiones a reportar esto para los dos primeros factores que se registran para los periodos de octubre y noviembre. Para el resultado obtenido para el periodo de diciembre se requiere dar aplicabilidad a la fórmula matemática.
</t>
        </r>
      </text>
    </comment>
    <comment ref="AI7" authorId="0" shapeId="0">
      <text>
        <r>
          <rPr>
            <b/>
            <sz val="9"/>
            <color indexed="81"/>
            <rFont val="Tahoma"/>
            <family val="2"/>
          </rPr>
          <t>Diana Alessandra Blanco Bernal:</t>
        </r>
        <r>
          <rPr>
            <sz val="9"/>
            <color indexed="81"/>
            <rFont val="Tahoma"/>
            <family val="2"/>
          </rPr>
          <t xml:space="preserve">
8/10; 9/10; 100%, los anteriores factores obedecen a relación entre total gestiones reportadas y total gestiones a reportar esto para los dos primeros factores que se registran para los periodos de octubre y noviembre. Para el resultado obtenido para el periodo de diciembre se requiere dar aplicabilidad a la fórmula matemática.
</t>
        </r>
      </text>
    </comment>
    <comment ref="AK7" authorId="0" shapeId="0">
      <text>
        <r>
          <rPr>
            <b/>
            <sz val="9"/>
            <color indexed="81"/>
            <rFont val="Tahoma"/>
            <family val="2"/>
          </rPr>
          <t>Diana Alessandra Blanco Bernal:</t>
        </r>
        <r>
          <rPr>
            <sz val="9"/>
            <color indexed="81"/>
            <rFont val="Tahoma"/>
            <family val="2"/>
          </rPr>
          <t xml:space="preserve">
8/10; 9/10; 100%, los anteriores factores obedecen a relación entre total gestiones reportadas y total gestiones a reportar esto para los dos primeros factores que se registran para los periodos de octubre y noviembre. Para el resultado obtenido para el periodo de diciembre se requiere dar aplicabilidad a la fórmula matemática.
</t>
        </r>
      </text>
    </comment>
    <comment ref="O8" authorId="0" shapeId="0">
      <text>
        <r>
          <rPr>
            <b/>
            <sz val="9"/>
            <color indexed="81"/>
            <rFont val="Tahoma"/>
            <family val="2"/>
          </rPr>
          <t>Diana Alessandra Blanco Bernal:</t>
        </r>
        <r>
          <rPr>
            <sz val="9"/>
            <color indexed="81"/>
            <rFont val="Tahoma"/>
            <family val="2"/>
          </rPr>
          <t xml:space="preserve">
Validad el porcentaje de avance del proyecto, se efectua seguimiento al proyecto y reportan 92% de avance del mismo.
Lagestión de producción remitio la información requerida el día 13 de junio de 2018, en donde se evidencia avance de 93 puntos porcentuales frente a la totalidad del proyecto.</t>
        </r>
      </text>
    </comment>
    <comment ref="P8" authorId="0" shapeId="0">
      <text>
        <r>
          <rPr>
            <b/>
            <sz val="9"/>
            <color indexed="81"/>
            <rFont val="Tahoma"/>
            <family val="2"/>
          </rPr>
          <t>Diana Alessandra Blanco Bernal:</t>
        </r>
        <r>
          <rPr>
            <sz val="9"/>
            <color indexed="81"/>
            <rFont val="Tahoma"/>
            <family val="2"/>
          </rPr>
          <t xml:space="preserve">
Objetivo del proyecto???
Validar con la Profesional Ruby Millan los resultados obtenidos.</t>
        </r>
      </text>
    </comment>
    <comment ref="Q8" authorId="0" shapeId="0">
      <text>
        <r>
          <rPr>
            <b/>
            <sz val="9"/>
            <color indexed="81"/>
            <rFont val="Tahoma"/>
            <family val="2"/>
          </rPr>
          <t>Diana Alessandra Blanco Bernal:</t>
        </r>
        <r>
          <rPr>
            <sz val="9"/>
            <color indexed="81"/>
            <rFont val="Tahoma"/>
            <family val="2"/>
          </rPr>
          <t xml:space="preserve">
Validad el porcentaje de avance del proyecto, se efectua seguimiento al proyecto y reportan 92% de avance del mismo.
Lagestión de producción remitio la información requerida el día 13 de junio de 2018, en donde se evidencia avance de 93 puntos porcentuales frente a la totalidad del proyecto.</t>
        </r>
      </text>
    </comment>
    <comment ref="S8" authorId="0" shapeId="0">
      <text>
        <r>
          <rPr>
            <b/>
            <sz val="9"/>
            <color indexed="81"/>
            <rFont val="Tahoma"/>
            <family val="2"/>
          </rPr>
          <t>Diana Alessandra Blanco Bernal:</t>
        </r>
        <r>
          <rPr>
            <sz val="9"/>
            <color indexed="81"/>
            <rFont val="Tahoma"/>
            <family val="2"/>
          </rPr>
          <t xml:space="preserve">
Validad el porcentaje de avance del proyecto, se efectua seguimiento al proyecto y reportan 92% de avance del mismo.
Lagestión de producción remitio la información requerida el día 13 de junio de 2018, en donde se evidencia avance de 93 puntos porcentuales frente a la totalidad del proyecto.</t>
        </r>
      </text>
    </comment>
    <comment ref="Z8" authorId="0" shapeId="0">
      <text>
        <r>
          <rPr>
            <b/>
            <sz val="9"/>
            <color indexed="81"/>
            <rFont val="Tahoma"/>
            <family val="2"/>
          </rPr>
          <t>Diana Alessandra Blanco Bernal:</t>
        </r>
        <r>
          <rPr>
            <sz val="9"/>
            <color indexed="81"/>
            <rFont val="Tahoma"/>
            <family val="2"/>
          </rPr>
          <t xml:space="preserve">
Resultados obtendos vía correo institucional el día 19 de julio de 2018.
</t>
        </r>
      </text>
    </comment>
    <comment ref="AF8" authorId="0" shapeId="0">
      <text>
        <r>
          <rPr>
            <b/>
            <sz val="9"/>
            <color indexed="81"/>
            <rFont val="Tahoma"/>
            <family val="2"/>
          </rPr>
          <t>Diana Alessandra Blanco Bernal:</t>
        </r>
        <r>
          <rPr>
            <sz val="9"/>
            <color indexed="81"/>
            <rFont val="Tahoma"/>
            <family val="2"/>
          </rPr>
          <t xml:space="preserve">
Se requiere los resultados obtenidos con corte a Julio de 2018, con el fin de efectuar los análisis pertinentes.
</t>
        </r>
      </text>
    </comment>
    <comment ref="AG8" authorId="0" shapeId="0">
      <text>
        <r>
          <rPr>
            <b/>
            <sz val="9"/>
            <color indexed="81"/>
            <rFont val="Tahoma"/>
            <family val="2"/>
          </rPr>
          <t>Diana Alessandra Blanco Bernal:</t>
        </r>
        <r>
          <rPr>
            <sz val="9"/>
            <color indexed="81"/>
            <rFont val="Tahoma"/>
            <family val="2"/>
          </rPr>
          <t xml:space="preserve">
Para el periodo de octubre los resultados se encuentran reportados en criterios cruzados, se requiere efectuar los ajustes pertinentes, así mismo se requiere dar aplicabilidad a la fórmula matemática para los periodos de octubre, noviembre y diciembre de la vigencia 2018.</t>
        </r>
      </text>
    </comment>
    <comment ref="AH8" authorId="0" shapeId="0">
      <text>
        <r>
          <rPr>
            <b/>
            <sz val="9"/>
            <color indexed="81"/>
            <rFont val="Tahoma"/>
            <family val="2"/>
          </rPr>
          <t>Diana Alessandra Blanco Bernal:</t>
        </r>
        <r>
          <rPr>
            <sz val="9"/>
            <color indexed="81"/>
            <rFont val="Tahoma"/>
            <family val="2"/>
          </rPr>
          <t xml:space="preserve">
Para el periodo de octubre los resultados se encuentran reportados en criterios cruzados, se requiere efectuar los ajustes pertinentes, así mismo se requiere dar aplicabilidad a la fórmula matemática para los periodos de octubre, noviembre y diciembre de la vigencia 2018.</t>
        </r>
      </text>
    </comment>
    <comment ref="AJ8" authorId="0" shapeId="0">
      <text>
        <r>
          <rPr>
            <b/>
            <sz val="9"/>
            <color indexed="81"/>
            <rFont val="Tahoma"/>
            <family val="2"/>
          </rPr>
          <t>Diana Alessandra Blanco Bernal:</t>
        </r>
        <r>
          <rPr>
            <sz val="9"/>
            <color indexed="81"/>
            <rFont val="Tahoma"/>
            <family val="2"/>
          </rPr>
          <t xml:space="preserve">
Para el periodo de octubre los resultados se encuentran reportados en criterios cruzados, se requiere efectuar los ajustes pertinentes, así mismo se requiere dar aplicabilidad a la fórmula matemática para los periodos de octubre, noviembre y diciembre de la vigencia 2018.</t>
        </r>
      </text>
    </comment>
    <comment ref="AK8" authorId="0" shapeId="0">
      <text>
        <r>
          <rPr>
            <b/>
            <sz val="9"/>
            <color indexed="81"/>
            <rFont val="Tahoma"/>
            <family val="2"/>
          </rPr>
          <t>Diana Alessandra Blanco Bernal:</t>
        </r>
        <r>
          <rPr>
            <sz val="9"/>
            <color indexed="81"/>
            <rFont val="Tahoma"/>
            <family val="2"/>
          </rPr>
          <t xml:space="preserve">
Para el periodo de octubre los resultados se encuentran reportados en criterios cruzados, se requiere efectuar los ajustes pertinentes, así mismo se requiere dar aplicabilidad a la fórmula matemática para los periodos de octubre, noviembre y diciembre de la vigencia 2018.</t>
        </r>
      </text>
    </comment>
    <comment ref="AL8" authorId="0" shapeId="0">
      <text>
        <r>
          <rPr>
            <b/>
            <sz val="9"/>
            <color indexed="81"/>
            <rFont val="Tahoma"/>
            <family val="2"/>
          </rPr>
          <t>Diana Alessandra Blanco Bernal:</t>
        </r>
        <r>
          <rPr>
            <sz val="9"/>
            <color indexed="81"/>
            <rFont val="Tahoma"/>
            <family val="2"/>
          </rPr>
          <t xml:space="preserve">
Para el periodo de octubre los resultados se encuentran reportados en criterios cruzados, se requiere efectuar los ajustes pertinentes, así mismo se requiere dar aplicabilidad a la fórmula matemática para los periodos de octubre, noviembre y diciembre de la vigencia 2018.</t>
        </r>
      </text>
    </comment>
    <comment ref="O9" authorId="0" shapeId="0">
      <text>
        <r>
          <rPr>
            <b/>
            <sz val="9"/>
            <color indexed="81"/>
            <rFont val="Tahoma"/>
            <family val="2"/>
          </rPr>
          <t>Diana Alessandra Blanco Bernal:</t>
        </r>
        <r>
          <rPr>
            <sz val="9"/>
            <color indexed="81"/>
            <rFont val="Tahoma"/>
            <family val="2"/>
          </rPr>
          <t xml:space="preserve">
Se solicita via correo institucional reporte de aprobaciones de documentación el día 15 de junio de 2018.
</t>
        </r>
      </text>
    </comment>
    <comment ref="Q9" authorId="0" shapeId="0">
      <text>
        <r>
          <rPr>
            <b/>
            <sz val="9"/>
            <color indexed="81"/>
            <rFont val="Tahoma"/>
            <family val="2"/>
          </rPr>
          <t>Diana Alessandra Blanco Bernal:</t>
        </r>
        <r>
          <rPr>
            <sz val="9"/>
            <color indexed="81"/>
            <rFont val="Tahoma"/>
            <family val="2"/>
          </rPr>
          <t xml:space="preserve">
Se solicita via correo institucional reporte de aprobaciones de documentación el día 15 de junio de 2018.
</t>
        </r>
      </text>
    </comment>
    <comment ref="S9" authorId="0" shapeId="0">
      <text>
        <r>
          <rPr>
            <b/>
            <sz val="9"/>
            <color indexed="81"/>
            <rFont val="Tahoma"/>
            <family val="2"/>
          </rPr>
          <t>Diana Alessandra Blanco Bernal:</t>
        </r>
        <r>
          <rPr>
            <sz val="9"/>
            <color indexed="81"/>
            <rFont val="Tahoma"/>
            <family val="2"/>
          </rPr>
          <t xml:space="preserve">
Se solicita via correo institucional reporte de aprobaciones de documentación el día 15 de junio de 2018.</t>
        </r>
      </text>
    </comment>
    <comment ref="AA9" authorId="0" shapeId="0">
      <text>
        <r>
          <rPr>
            <b/>
            <sz val="9"/>
            <color indexed="81"/>
            <rFont val="Tahoma"/>
            <family val="2"/>
          </rPr>
          <t xml:space="preserve">Diana Alessandra Blanco Bernal:
</t>
        </r>
        <r>
          <rPr>
            <sz val="9"/>
            <color indexed="81"/>
            <rFont val="Tahoma"/>
            <family val="2"/>
          </rPr>
          <t xml:space="preserve">Se solicita vía correo institucional reporte de aprobaciones de documentación el día 15 de junio de 2018.
Se requiere aplicar la formula matemática establecida para los indicadores, los textos adicionales se pueden referir en el campo análisis de resultados.
</t>
        </r>
        <r>
          <rPr>
            <b/>
            <sz val="9"/>
            <color indexed="81"/>
            <rFont val="Tahoma"/>
            <family val="2"/>
          </rPr>
          <t xml:space="preserve">
</t>
        </r>
      </text>
    </comment>
    <comment ref="AB9" authorId="0" shapeId="0">
      <text>
        <r>
          <rPr>
            <b/>
            <sz val="9"/>
            <color indexed="81"/>
            <rFont val="Tahoma"/>
            <family val="2"/>
          </rPr>
          <t>Diana Alessandra Blanco Bernal:</t>
        </r>
        <r>
          <rPr>
            <sz val="9"/>
            <color indexed="81"/>
            <rFont val="Tahoma"/>
            <family val="2"/>
          </rPr>
          <t xml:space="preserve">
Se requiere efectuar un análisis de resultados adecuado, teniendo en cuenta las metas establecidas para el proyecto de implantación del SIG conforme a cronograma de la vigencia 2018, esto con el fin de establecer los logros alcanzados para el proyecto mencionado en el presente inciso.
Es importante tener en cuenta que las observaciones se manifestaron tanto escrito vía correo institucional como verbal a las profesionales delegadas para el proyecto en cuestión.
</t>
        </r>
      </text>
    </comment>
    <comment ref="AC9" authorId="0" shapeId="0">
      <text>
        <r>
          <rPr>
            <b/>
            <sz val="9"/>
            <color indexed="81"/>
            <rFont val="Tahoma"/>
            <family val="2"/>
          </rPr>
          <t>Diana Alessandra Blanco Bernal:</t>
        </r>
        <r>
          <rPr>
            <sz val="9"/>
            <color indexed="81"/>
            <rFont val="Tahoma"/>
            <family val="2"/>
          </rPr>
          <t xml:space="preserve">Se solicita vía correo institucional reporte de aprobaciones de documentación el día 15 de junio de 2018.
Se requiere aplicar la formula matemática establecida para los indicadores, los textos adicionales se pueden referir en el campo análisis de resultados.
</t>
        </r>
      </text>
    </comment>
    <comment ref="AD9" authorId="0" shapeId="0">
      <text>
        <r>
          <rPr>
            <b/>
            <sz val="9"/>
            <color indexed="81"/>
            <rFont val="Tahoma"/>
            <family val="2"/>
          </rPr>
          <t>Diana Alessandra Blanco Bernal:</t>
        </r>
        <r>
          <rPr>
            <sz val="9"/>
            <color indexed="81"/>
            <rFont val="Tahoma"/>
            <family val="2"/>
          </rPr>
          <t xml:space="preserve">
Se requiere efectuar un análisis de resultados adecuado, teniendo en cuenta las metas establecidas para el proyecto de implantación del SIG conforme a cronograma de la vigencia 2018, esto con el fin de establecer los logros alcanzados para el proyecto mencionado en el presente inciso.
Es importante tener en cuenta que las observaciones se manifestaron tanto escrito vía correo institucional como verbal a las profesionales delegadas para el proyecto en cuestión.
</t>
        </r>
      </text>
    </comment>
    <comment ref="AE9" authorId="0" shapeId="0">
      <text>
        <r>
          <rPr>
            <b/>
            <sz val="9"/>
            <color indexed="81"/>
            <rFont val="Tahoma"/>
            <family val="2"/>
          </rPr>
          <t>Diana Alessandra Blanco Bernal:</t>
        </r>
        <r>
          <rPr>
            <sz val="9"/>
            <color indexed="81"/>
            <rFont val="Tahoma"/>
            <family val="2"/>
          </rPr>
          <t xml:space="preserve">
Se solicita vía correo institucional reporte de aprobaciones de documentación el día 15 de junio de 2018.
Se requiere aplicar la formula matemática establecida para los indicadores, los textos adicionales se pueden referir en el campo análisis de resultados.
</t>
        </r>
      </text>
    </comment>
    <comment ref="AG9" authorId="0" shapeId="0">
      <text>
        <r>
          <rPr>
            <b/>
            <sz val="9"/>
            <color indexed="81"/>
            <rFont val="Tahoma"/>
            <family val="2"/>
          </rPr>
          <t>Diana Alessandra Blanco Bernal:</t>
        </r>
        <r>
          <rPr>
            <sz val="9"/>
            <color indexed="81"/>
            <rFont val="Tahoma"/>
            <family val="2"/>
          </rPr>
          <t xml:space="preserve">
Se solicita via correo institucional reporte de aprobaciones de documentación el día 15 de junio de 2018.</t>
        </r>
      </text>
    </comment>
    <comment ref="AI9" authorId="0" shapeId="0">
      <text>
        <r>
          <rPr>
            <b/>
            <sz val="9"/>
            <color indexed="81"/>
            <rFont val="Tahoma"/>
            <family val="2"/>
          </rPr>
          <t>Diana Alessandra Blanco Bernal:</t>
        </r>
        <r>
          <rPr>
            <sz val="9"/>
            <color indexed="81"/>
            <rFont val="Tahoma"/>
            <family val="2"/>
          </rPr>
          <t xml:space="preserve">
Se solicita via correo institucional reporte de aprobaciones de documentación el día 15 de junio de 2018.</t>
        </r>
      </text>
    </comment>
    <comment ref="AK9" authorId="0" shapeId="0">
      <text>
        <r>
          <rPr>
            <b/>
            <sz val="9"/>
            <color indexed="81"/>
            <rFont val="Tahoma"/>
            <family val="2"/>
          </rPr>
          <t>Diana Alessandra Blanco Bernal:</t>
        </r>
        <r>
          <rPr>
            <sz val="9"/>
            <color indexed="81"/>
            <rFont val="Tahoma"/>
            <family val="2"/>
          </rPr>
          <t xml:space="preserve">
Se solicita via correo institucional reporte de aprobaciones de documentación el día 15 de junio de 2018.</t>
        </r>
      </text>
    </comment>
    <comment ref="O10" authorId="0" shapeId="0">
      <text>
        <r>
          <rPr>
            <b/>
            <sz val="9"/>
            <color indexed="81"/>
            <rFont val="Tahoma"/>
            <family val="2"/>
          </rPr>
          <t>Diana Alessandra Blanco Bernal:</t>
        </r>
        <r>
          <rPr>
            <sz val="9"/>
            <color indexed="81"/>
            <rFont val="Tahoma"/>
            <family val="2"/>
          </rPr>
          <t xml:space="preserve">
Pendiente reporte de asesorias en lo que concierne a Mapa de Riesgos.(Clara Paulina Triana) </t>
        </r>
      </text>
    </comment>
    <comment ref="W10" authorId="0" shapeId="0">
      <text>
        <r>
          <rPr>
            <b/>
            <sz val="9"/>
            <color indexed="81"/>
            <rFont val="Tahoma"/>
            <family val="2"/>
          </rPr>
          <t>Diana Alessandra Blanco Bernal:</t>
        </r>
        <r>
          <rPr>
            <sz val="9"/>
            <color indexed="81"/>
            <rFont val="Tahoma"/>
            <family val="2"/>
          </rPr>
          <t xml:space="preserve">
Pendiente reporte de asesorias en lo que concierne a Mapa de Riesgos.(Clara Paulina Triana) </t>
        </r>
      </text>
    </comment>
    <comment ref="Y10" authorId="0" shapeId="0">
      <text>
        <r>
          <rPr>
            <b/>
            <sz val="9"/>
            <color indexed="81"/>
            <rFont val="Tahoma"/>
            <family val="2"/>
          </rPr>
          <t>Diana Alessandra Blanco Bernal:</t>
        </r>
        <r>
          <rPr>
            <sz val="9"/>
            <color indexed="81"/>
            <rFont val="Tahoma"/>
            <family val="2"/>
          </rPr>
          <t xml:space="preserve">
Pendiente reporte de asesorias en lo que concierne a Mapa de Riesgos.(Clara Paulina Triana) </t>
        </r>
      </text>
    </comment>
    <comment ref="AA10" authorId="0" shapeId="0">
      <text>
        <r>
          <rPr>
            <b/>
            <sz val="9"/>
            <color indexed="81"/>
            <rFont val="Tahoma"/>
            <family val="2"/>
          </rPr>
          <t>Diana Alessandra Blanco Bernal:</t>
        </r>
        <r>
          <rPr>
            <sz val="9"/>
            <color indexed="81"/>
            <rFont val="Tahoma"/>
            <family val="2"/>
          </rPr>
          <t xml:space="preserve">
Se requiere aplicar la formula matematica establecida para los indicadores, los textos adicionales se pueden referir en el campo analisis de resultados.</t>
        </r>
      </text>
    </comment>
    <comment ref="AB10" authorId="0" shapeId="0">
      <text>
        <r>
          <rPr>
            <b/>
            <sz val="9"/>
            <color indexed="81"/>
            <rFont val="Tahoma"/>
            <family val="2"/>
          </rPr>
          <t>Diana Alessandra Blanco Bernal:</t>
        </r>
        <r>
          <rPr>
            <sz val="9"/>
            <color indexed="81"/>
            <rFont val="Tahoma"/>
            <family val="2"/>
          </rPr>
          <t xml:space="preserve">
Se requiere efectuar un análisis de resultados adecuado, teniendo en cuenta las metas establecidas para el proyecto de implantación del SIG conforme a cronograma de la vigencia 2018, esto con el fin de establecer los logros alcanzados para el proyecto mencionado en el presente inciso.
Es importante tener en cuenta que las observaciones se manifestaron tanto escrito vía correo institucional como verbal a las profesionales delegadas para el proyecto en cuestión.
</t>
        </r>
      </text>
    </comment>
    <comment ref="AC10" authorId="0" shapeId="0">
      <text>
        <r>
          <rPr>
            <b/>
            <sz val="9"/>
            <color indexed="81"/>
            <rFont val="Tahoma"/>
            <family val="2"/>
          </rPr>
          <t>Diana Alessandra Blanco Bernal:</t>
        </r>
        <r>
          <rPr>
            <sz val="9"/>
            <color indexed="81"/>
            <rFont val="Tahoma"/>
            <family val="2"/>
          </rPr>
          <t xml:space="preserve">
Se requiere aplicar la formula matematica establecida para los indicadores, los textos adicionales se pueden referir en el campo analisis de resultados.</t>
        </r>
      </text>
    </comment>
    <comment ref="AD10" authorId="0" shapeId="0">
      <text>
        <r>
          <rPr>
            <b/>
            <sz val="9"/>
            <color indexed="81"/>
            <rFont val="Tahoma"/>
            <family val="2"/>
          </rPr>
          <t>Diana Alessandra Blanco Bernal:</t>
        </r>
        <r>
          <rPr>
            <sz val="9"/>
            <color indexed="81"/>
            <rFont val="Tahoma"/>
            <family val="2"/>
          </rPr>
          <t xml:space="preserve">
Se requiere efectuar un análisis de resultados adecuado, teniendo en cuenta las metas establecidas para el proyecto de implantación del SIG conforme a cronograma de la vigencia 2018, esto con el fin de establecer los logros alcanzados para el proyecto mencionado en el presente inciso.
Es importante tener en cuenta que las observaciones se manifestaron tanto escrito vía correo institucional como verbal a las profesionales delegadas para el proyecto en cuestión.
</t>
        </r>
      </text>
    </comment>
    <comment ref="AE10" authorId="0" shapeId="0">
      <text>
        <r>
          <rPr>
            <b/>
            <sz val="9"/>
            <color indexed="81"/>
            <rFont val="Tahoma"/>
            <family val="2"/>
          </rPr>
          <t>Diana Alessandra Blanco Bernal:</t>
        </r>
        <r>
          <rPr>
            <sz val="9"/>
            <color indexed="81"/>
            <rFont val="Tahoma"/>
            <family val="2"/>
          </rPr>
          <t xml:space="preserve">
Se requiere aplicar la formula matematica establecida para los indicadores, los textos adicionales se pueden referir en el campo analisis de resultados.</t>
        </r>
      </text>
    </comment>
    <comment ref="AF10" authorId="0" shapeId="0">
      <text>
        <r>
          <rPr>
            <b/>
            <sz val="9"/>
            <color indexed="81"/>
            <rFont val="Tahoma"/>
            <family val="2"/>
          </rPr>
          <t>Diana Alessandra Blanco Bernal:</t>
        </r>
        <r>
          <rPr>
            <sz val="9"/>
            <color indexed="81"/>
            <rFont val="Tahoma"/>
            <family val="2"/>
          </rPr>
          <t xml:space="preserve">
Se requiere efectuar un análisis de resultados adecuado, teniendo en cuenta las metas establecidas para el proyecto de implantación del SIG conforme a cronograma de la vigencia 2018, esto con el fin de establecer los logros alcanzados para el proyecto mencionado en el presente inciso.
Es importante tener en cuenta que las observaciones se manifestaron tanto escrito vía correo institucional como verbal a las profesionales delegadas para el proyecto en cuestión.
</t>
        </r>
      </text>
    </comment>
    <comment ref="AA11" authorId="0" shapeId="0">
      <text>
        <r>
          <rPr>
            <b/>
            <sz val="9"/>
            <color indexed="81"/>
            <rFont val="Tahoma"/>
            <family val="2"/>
          </rPr>
          <t>Diana Alessandra Blanco Bernal:</t>
        </r>
        <r>
          <rPr>
            <sz val="9"/>
            <color indexed="81"/>
            <rFont val="Tahoma"/>
            <family val="2"/>
          </rPr>
          <t xml:space="preserve">
No se requiere adicionar fórmulas matemáticas, ahora bien si es necesario se requiere diligenciar el formato establecido por el Macro Proceso SIG registro del proceso control documental, se sugiere como medida de contingencia mientras se efectúa el cambio reportar el dato en el campo análisis de resultados.
Ahora bien, en lo que respecta a riesgos reportados el campo fórmula matemática está diseñado solo para insertar caracteres numéricos, lo cual se manifestó en varias oportunidades a las profesionales delegadas para el proyecto de implantación e implementación del SIG.
Conforme a validaciones el reporte publicado se encuentra recortado por lo tanto no es claro, se logra visualizar 52 cincuenta y dos riesgos identificados, conforme a lo anterior se requiere allegar los 32 treinta y dos riesgos mitigados, esto de conformidad con lo reportado para los periodos de julio y agosto.
</t>
        </r>
      </text>
    </comment>
    <comment ref="AB11" authorId="0" shapeId="0">
      <text>
        <r>
          <rPr>
            <b/>
            <sz val="9"/>
            <color indexed="81"/>
            <rFont val="Tahoma"/>
            <family val="2"/>
          </rPr>
          <t>Diana Alessandra Blanco Bernal:</t>
        </r>
        <r>
          <rPr>
            <sz val="9"/>
            <color indexed="81"/>
            <rFont val="Tahoma"/>
            <family val="2"/>
          </rPr>
          <t xml:space="preserve">
Se requiere efectuar un análisis de resultados adecuado, teniendo en cuenta las metas establecidas para el proyecto de implantación del SIG conforme a cronograma de la vigencia 2018, esto con el fin de establecer los logros alcanzados para el proyecto mencionado en el presente inciso.
Es importante tener en cuenta que las observaciones se manifestaron tanto escrito vía correo institucional como verbal a las profesionales delegadas para el proyecto en cuestión.
</t>
        </r>
      </text>
    </comment>
    <comment ref="AC11" authorId="0" shapeId="0">
      <text>
        <r>
          <rPr>
            <b/>
            <sz val="9"/>
            <color indexed="81"/>
            <rFont val="Tahoma"/>
            <family val="2"/>
          </rPr>
          <t>Diana Alessandra Blanco Bernal:</t>
        </r>
        <r>
          <rPr>
            <sz val="9"/>
            <color indexed="81"/>
            <rFont val="Tahoma"/>
            <family val="2"/>
          </rPr>
          <t xml:space="preserve">
No se requiere adicionar fórmulas matemáticas, ahora bien si es necesario se requiere diligenciar el formato establecido por el Macro Proceso SIG registro del proceso control documental, se sugiere como medida de contingencia mientras se efectúa el cambio reportar el dato en el campo análisis de resultados.
Ahora bien, en lo que respecta a riesgos reportados el campo fórmula matemática está diseñado solo para insertar caracteres numéricos, lo cual se manifestó en varias oportunidades a las profesionales delegadas para el proyecto de implantación e implementación del SIG.
Conforme a validaciones el reporte publicado se encuentra recortado por lo tanto no es claro, se logra visualizar 52 cincuenta y dos riesgos identificados, conforme a lo anterior se requiere allegar los 32 treinta y dos riesgos mitigados, esto de conformidad con lo reportado para los periodos de julio y agosto.
</t>
        </r>
      </text>
    </comment>
    <comment ref="AD11" authorId="0" shapeId="0">
      <text>
        <r>
          <rPr>
            <b/>
            <sz val="9"/>
            <color indexed="81"/>
            <rFont val="Tahoma"/>
            <family val="2"/>
          </rPr>
          <t>Diana Alessandra Blanco Bernal:</t>
        </r>
        <r>
          <rPr>
            <sz val="9"/>
            <color indexed="81"/>
            <rFont val="Tahoma"/>
            <family val="2"/>
          </rPr>
          <t xml:space="preserve">
Se requiere efectuar un análisis de resultados adecuado, teniendo en cuenta las metas establecidas para el proyecto de implantación del SIG conforme a cronograma de la vigencia 2018, esto con el fin de establecer los logros alcanzados para el proyecto mencionado en el presente inciso.
Es importante tener en cuenta que las observaciones se manifestaron tanto escrito vía correo institucional como verbal a las profesionales delegadas para el proyecto en cuestión.
</t>
        </r>
      </text>
    </comment>
    <comment ref="AE11" authorId="0" shapeId="0">
      <text>
        <r>
          <rPr>
            <b/>
            <sz val="9"/>
            <color indexed="81"/>
            <rFont val="Tahoma"/>
            <family val="2"/>
          </rPr>
          <t>Diana Alessandra Blanco Bernal:</t>
        </r>
        <r>
          <rPr>
            <sz val="9"/>
            <color indexed="81"/>
            <rFont val="Tahoma"/>
            <family val="2"/>
          </rPr>
          <t xml:space="preserve">
Para el periodo de septiembre no se obtiene resultados, por tanto se requiere generar la pertinente acción correctiva o de mejora.</t>
        </r>
      </text>
    </comment>
    <comment ref="AF11" authorId="0" shapeId="0">
      <text>
        <r>
          <rPr>
            <b/>
            <sz val="9"/>
            <color indexed="81"/>
            <rFont val="Tahoma"/>
            <family val="2"/>
          </rPr>
          <t>Diana Alessandra Blanco Bernal:</t>
        </r>
        <r>
          <rPr>
            <sz val="9"/>
            <color indexed="81"/>
            <rFont val="Tahoma"/>
            <family val="2"/>
          </rPr>
          <t xml:space="preserve">
Para el periodo de septiembre no se obtiene resultados, por tanto se requiere generar la pertinente acción correctiva o de mejora.</t>
        </r>
      </text>
    </comment>
    <comment ref="AG11" authorId="0" shapeId="0">
      <text>
        <r>
          <rPr>
            <b/>
            <sz val="9"/>
            <color indexed="81"/>
            <rFont val="Tahoma"/>
            <family val="2"/>
          </rPr>
          <t>Diana Alessandra Blanco Bernal:</t>
        </r>
        <r>
          <rPr>
            <sz val="9"/>
            <color indexed="81"/>
            <rFont val="Tahoma"/>
            <family val="2"/>
          </rPr>
          <t xml:space="preserve">
Este indicador es acumulativo.</t>
        </r>
      </text>
    </comment>
    <comment ref="AI11" authorId="0" shapeId="0">
      <text>
        <r>
          <rPr>
            <b/>
            <sz val="9"/>
            <color indexed="81"/>
            <rFont val="Tahoma"/>
            <family val="2"/>
          </rPr>
          <t>Diana Alessandra Blanco Bernal:</t>
        </r>
        <r>
          <rPr>
            <sz val="9"/>
            <color indexed="81"/>
            <rFont val="Tahoma"/>
            <family val="2"/>
          </rPr>
          <t xml:space="preserve">
Este indicador es acumulativo.</t>
        </r>
      </text>
    </comment>
    <comment ref="AK11" authorId="0" shapeId="0">
      <text>
        <r>
          <rPr>
            <b/>
            <sz val="9"/>
            <color indexed="81"/>
            <rFont val="Tahoma"/>
            <family val="2"/>
          </rPr>
          <t>Diana Alessandra Blanco Bernal:</t>
        </r>
        <r>
          <rPr>
            <sz val="9"/>
            <color indexed="81"/>
            <rFont val="Tahoma"/>
            <family val="2"/>
          </rPr>
          <t xml:space="preserve">
Este indicador es acumulativo.</t>
        </r>
      </text>
    </comment>
    <comment ref="G12" authorId="0" shapeId="0">
      <text>
        <r>
          <rPr>
            <b/>
            <sz val="9"/>
            <color indexed="81"/>
            <rFont val="Tahoma"/>
            <family val="2"/>
          </rPr>
          <t>Diana Alessandra Blanco Bernal:</t>
        </r>
        <r>
          <rPr>
            <sz val="9"/>
            <color indexed="81"/>
            <rFont val="Tahoma"/>
            <family val="2"/>
          </rPr>
          <t xml:space="preserve">
Objetivo de calidad: Mejorar la eficiencia en la capacidad productiva y operativa de la E.L.C.</t>
        </r>
      </text>
    </comment>
    <comment ref="O12" authorId="1" shapeId="0">
      <text>
        <r>
          <rPr>
            <b/>
            <sz val="11"/>
            <color indexed="81"/>
            <rFont val="Tahoma"/>
            <family val="2"/>
          </rPr>
          <t>Administrador:</t>
        </r>
        <r>
          <rPr>
            <sz val="11"/>
            <color indexed="81"/>
            <rFont val="Tahoma"/>
            <family val="2"/>
          </rPr>
          <t xml:space="preserve">
En el denominador el calculo hace referencia al tiempo total empleado en horas productivas durante el mes .
</t>
        </r>
      </text>
    </comment>
    <comment ref="Z12" authorId="0" shapeId="0">
      <text>
        <r>
          <rPr>
            <b/>
            <sz val="9"/>
            <color indexed="81"/>
            <rFont val="Tahoma"/>
            <family val="2"/>
          </rPr>
          <t xml:space="preserve">Diana Alessandra Blanco Bernal:
Mediante acta de comité primario en conjunto con la gestión comercial de la entidad, se define que de acuerdo a programación, ya se dio cumplimiento para algunas referencias, de acuerdo a lo anterior se da ejecución a la programación faltante, por tanto se modifica el plan de producción. De igual manera es importante tener en cuenta el Inventario Inicial para el año 2018, lo cual genera sobre stock.
</t>
        </r>
      </text>
    </comment>
    <comment ref="AF13" authorId="0" shapeId="0">
      <text>
        <r>
          <rPr>
            <b/>
            <sz val="9"/>
            <color indexed="81"/>
            <rFont val="Tahoma"/>
            <family val="2"/>
          </rPr>
          <t>Diana Alessandra Blanco Bernal:</t>
        </r>
        <r>
          <rPr>
            <sz val="9"/>
            <color indexed="81"/>
            <rFont val="Tahoma"/>
            <family val="2"/>
          </rPr>
          <t xml:space="preserve">
Se visualiza que el indicador se eleva frente a los otros periodos antecedentes.
Se da prioridad a produción 500ml, en el cual se tuvo que programar cambio de formato lo cual tarda aproximadamente (2) dos semanas.
Tambien afecto el indicador por temas inherentes a abastecimiiento de materia prima fudamental Alcohol.
El profesional manifiesta que la materia prima llega hacia inicios del mes de octubre.</t>
        </r>
      </text>
    </comment>
    <comment ref="AN13" authorId="0" shapeId="0">
      <text>
        <r>
          <rPr>
            <b/>
            <sz val="9"/>
            <color indexed="81"/>
            <rFont val="Tahoma"/>
            <family val="2"/>
          </rPr>
          <t>Diana Alessandra Blanco Bernal:</t>
        </r>
        <r>
          <rPr>
            <sz val="9"/>
            <color indexed="81"/>
            <rFont val="Tahoma"/>
            <family val="2"/>
          </rPr>
          <t xml:space="preserve">
Se recomienda efectuar control de cambios en el formato establecido para tal fin.</t>
        </r>
      </text>
    </comment>
    <comment ref="AQ13" authorId="0" shapeId="0">
      <text>
        <r>
          <rPr>
            <b/>
            <sz val="9"/>
            <color indexed="81"/>
            <rFont val="Tahoma"/>
            <family val="2"/>
          </rPr>
          <t>Diana Alessandra Blanco Bernal:</t>
        </r>
        <r>
          <rPr>
            <sz val="9"/>
            <color indexed="81"/>
            <rFont val="Tahoma"/>
            <family val="2"/>
          </rPr>
          <t xml:space="preserve">
Se remite formato de AC.</t>
        </r>
      </text>
    </comment>
    <comment ref="G14" authorId="0" shapeId="0">
      <text>
        <r>
          <rPr>
            <b/>
            <sz val="9"/>
            <color indexed="81"/>
            <rFont val="Tahoma"/>
            <family val="2"/>
          </rPr>
          <t>Diana Alessandra Blanco Bernal:</t>
        </r>
        <r>
          <rPr>
            <sz val="9"/>
            <color indexed="81"/>
            <rFont val="Tahoma"/>
            <family val="2"/>
          </rPr>
          <t xml:space="preserve">
Objetivo de calidad: Mejorar la eficiencia en la capacidad productiva y operativa de la E.L.C.</t>
        </r>
      </text>
    </comment>
    <comment ref="AY14" authorId="0" shapeId="0">
      <text>
        <r>
          <rPr>
            <b/>
            <sz val="9"/>
            <color indexed="81"/>
            <rFont val="Tahoma"/>
            <family val="2"/>
          </rPr>
          <t>Diana Alessandra Blanco Bernal:</t>
        </r>
        <r>
          <rPr>
            <sz val="9"/>
            <color indexed="81"/>
            <rFont val="Tahoma"/>
            <family val="2"/>
          </rPr>
          <t xml:space="preserve">
Ingeniero John Camargo validara en su gestión posibilidad de promediar resultados obtenidos.</t>
        </r>
      </text>
    </comment>
    <comment ref="AF15" authorId="0" shapeId="0">
      <text>
        <r>
          <rPr>
            <b/>
            <sz val="9"/>
            <color indexed="81"/>
            <rFont val="Tahoma"/>
            <family val="2"/>
          </rPr>
          <t>Diana Alessandra Blanco Bernal:</t>
        </r>
        <r>
          <rPr>
            <sz val="9"/>
            <color indexed="81"/>
            <rFont val="Tahoma"/>
            <family val="2"/>
          </rPr>
          <t xml:space="preserve">
Al no presentarse recicles en el periodo quiere decir que el proceso es efciiente y por tanto el indicador es favorable.</t>
        </r>
      </text>
    </comment>
    <comment ref="AN15" authorId="1" shapeId="0">
      <text>
        <r>
          <rPr>
            <b/>
            <sz val="11"/>
            <color indexed="81"/>
            <rFont val="Tahoma"/>
            <family val="2"/>
          </rPr>
          <t>Administrador: 
La meta se podra establecer con el pico historico del año 2018, esto teniendo en cuenta que este es un indicador nuevo.</t>
        </r>
        <r>
          <rPr>
            <sz val="11"/>
            <color indexed="81"/>
            <rFont val="Tahoma"/>
            <family val="2"/>
          </rPr>
          <t xml:space="preserve">
Diana Blanco: 
Se recomienda efectuar control de cambios de criterios en el respectivo formato establecido para tal fin.</t>
        </r>
      </text>
    </comment>
    <comment ref="AD16" authorId="0" shapeId="0">
      <text>
        <r>
          <rPr>
            <b/>
            <sz val="9"/>
            <color indexed="81"/>
            <rFont val="Tahoma"/>
            <family val="2"/>
          </rPr>
          <t>Diana Alessandra Blanco Bernal:</t>
        </r>
        <r>
          <rPr>
            <sz val="9"/>
            <color indexed="81"/>
            <rFont val="Tahoma"/>
            <family val="2"/>
          </rPr>
          <t xml:space="preserve">
Los resultados obtenidos obedecen a temas logistico en cuanto espacio de almacenamieno, adicional la gestión administrativa debe llevar el control de las materias primas (Estibas), con el fin de dar los cubrimientos pertinentes.</t>
        </r>
      </text>
    </comment>
    <comment ref="AN17" authorId="0" shapeId="0">
      <text>
        <r>
          <rPr>
            <b/>
            <sz val="9"/>
            <color indexed="81"/>
            <rFont val="Tahoma"/>
            <family val="2"/>
          </rPr>
          <t>Diana Alessandra Blanco Bernal:</t>
        </r>
        <r>
          <rPr>
            <sz val="9"/>
            <color indexed="81"/>
            <rFont val="Tahoma"/>
            <family val="2"/>
          </rPr>
          <t xml:space="preserve">
Se ajustara a resultados acumulables.</t>
        </r>
      </text>
    </comment>
    <comment ref="AF18" authorId="0" shapeId="0">
      <text>
        <r>
          <rPr>
            <b/>
            <sz val="9"/>
            <color indexed="81"/>
            <rFont val="Tahoma"/>
            <family val="2"/>
          </rPr>
          <t>Diana Alessandra Blanco Bernal:</t>
        </r>
        <r>
          <rPr>
            <sz val="9"/>
            <color indexed="81"/>
            <rFont val="Tahoma"/>
            <family val="2"/>
          </rPr>
          <t xml:space="preserve">
Gestión de la produción genera su cubrimiento con respecto a lo requerido por la gestión comercial de la entidad, a la fecha no se ha generado solicitud al exterior.</t>
        </r>
      </text>
    </comment>
    <comment ref="AN18" authorId="0" shapeId="0">
      <text>
        <r>
          <rPr>
            <b/>
            <sz val="9"/>
            <color indexed="81"/>
            <rFont val="Tahoma"/>
            <family val="2"/>
          </rPr>
          <t>Diana Alessandra Blanco Bernal:</t>
        </r>
        <r>
          <rPr>
            <sz val="9"/>
            <color indexed="81"/>
            <rFont val="Tahoma"/>
            <family val="2"/>
          </rPr>
          <t xml:space="preserve">
Se ajustara a resultados acumulables.</t>
        </r>
      </text>
    </comment>
    <comment ref="AN20" authorId="2" shapeId="0">
      <text>
        <r>
          <rPr>
            <b/>
            <sz val="9"/>
            <color indexed="81"/>
            <rFont val="Tahoma"/>
            <family val="2"/>
          </rPr>
          <t>Jorge Antonio Jimenez Vargas:</t>
        </r>
        <r>
          <rPr>
            <sz val="9"/>
            <color indexed="81"/>
            <rFont val="Tahoma"/>
            <family val="2"/>
          </rPr>
          <t xml:space="preserve">
Ppto Total 9.112.851.000
Es decir $ 2.733.855.300, corresponde al 30% del presupuesto de la vigencia.</t>
        </r>
      </text>
    </comment>
    <comment ref="Y27" authorId="0" shapeId="0">
      <text>
        <r>
          <rPr>
            <b/>
            <sz val="9"/>
            <color indexed="81"/>
            <rFont val="Tahoma"/>
            <family val="2"/>
          </rPr>
          <t>Diana Alessandra Blanco Bernal:</t>
        </r>
        <r>
          <rPr>
            <sz val="9"/>
            <color indexed="81"/>
            <rFont val="Tahoma"/>
            <family val="2"/>
          </rPr>
          <t xml:space="preserve">
Se requiere evidencia de los Reconocimientos 
Acumulados y Ingresos apropiados.</t>
        </r>
      </text>
    </comment>
    <comment ref="S28" authorId="0" shapeId="0">
      <text>
        <r>
          <rPr>
            <b/>
            <sz val="9"/>
            <color indexed="81"/>
            <rFont val="Tahoma"/>
            <family val="2"/>
          </rPr>
          <t>Diana Alessandra Blanco Bernal:</t>
        </r>
        <r>
          <rPr>
            <sz val="9"/>
            <color indexed="81"/>
            <rFont val="Tahoma"/>
            <family val="2"/>
          </rPr>
          <t xml:space="preserve">
Se requiere soporte de compromisos a 31 de marzo de 2018.
</t>
        </r>
      </text>
    </comment>
    <comment ref="Y28" authorId="0" shapeId="0">
      <text>
        <r>
          <rPr>
            <b/>
            <sz val="9"/>
            <color indexed="81"/>
            <rFont val="Tahoma"/>
            <family val="2"/>
          </rPr>
          <t>Diana Alessandra Blanco Bernal:</t>
        </r>
        <r>
          <rPr>
            <sz val="9"/>
            <color indexed="81"/>
            <rFont val="Tahoma"/>
            <family val="2"/>
          </rPr>
          <t xml:space="preserve">
Se requiere soporte de compromisos a 31 de marzo de 2018.
</t>
        </r>
      </text>
    </comment>
    <comment ref="Y29" authorId="0" shapeId="0">
      <text>
        <r>
          <rPr>
            <b/>
            <sz val="9"/>
            <color indexed="81"/>
            <rFont val="Tahoma"/>
            <family val="2"/>
          </rPr>
          <t>Diana Alessandra Blanco Bernal:</t>
        </r>
        <r>
          <rPr>
            <sz val="9"/>
            <color indexed="81"/>
            <rFont val="Tahoma"/>
            <family val="2"/>
          </rPr>
          <t xml:space="preserve">
Se requiere compromisos acumulados a 30 de junio de 2018, y Presupuesto definitivo de gastos apropiado.</t>
        </r>
      </text>
    </comment>
    <comment ref="Y30" authorId="0" shapeId="0">
      <text>
        <r>
          <rPr>
            <b/>
            <sz val="9"/>
            <color indexed="81"/>
            <rFont val="Tahoma"/>
            <family val="2"/>
          </rPr>
          <t>Diana Alessandra Blanco Bernal:</t>
        </r>
        <r>
          <rPr>
            <sz val="9"/>
            <color indexed="81"/>
            <rFont val="Tahoma"/>
            <family val="2"/>
          </rPr>
          <t xml:space="preserve">
Se requiere Estado de Situación Financiera a 30 de junio de 2018.</t>
        </r>
      </text>
    </comment>
    <comment ref="O32" authorId="3" shapeId="0">
      <text>
        <r>
          <rPr>
            <sz val="9"/>
            <color indexed="81"/>
            <rFont val="Tahoma"/>
            <family val="2"/>
          </rPr>
          <t>El 210% del patrimonio está comprometido con acrredores</t>
        </r>
      </text>
    </comment>
    <comment ref="Y32" authorId="0" shapeId="0">
      <text>
        <r>
          <rPr>
            <b/>
            <sz val="9"/>
            <color indexed="81"/>
            <rFont val="Tahoma"/>
            <family val="2"/>
          </rPr>
          <t>Diana Alessandra Blanco Bernal:</t>
        </r>
        <r>
          <rPr>
            <sz val="9"/>
            <color indexed="81"/>
            <rFont val="Tahoma"/>
            <family val="2"/>
          </rPr>
          <t xml:space="preserve">
Se requiere conocer la composición de la pasivo total, especificamente beneficios a los empleados a L.P.</t>
        </r>
      </text>
    </comment>
    <comment ref="Y38" authorId="0" shapeId="0">
      <text>
        <r>
          <rPr>
            <b/>
            <sz val="9"/>
            <color indexed="81"/>
            <rFont val="Tahoma"/>
            <family val="2"/>
          </rPr>
          <t>Diana Alessandra Blanco Bernal:</t>
        </r>
        <r>
          <rPr>
            <sz val="9"/>
            <color indexed="81"/>
            <rFont val="Tahoma"/>
            <family val="2"/>
          </rPr>
          <t xml:space="preserve">
Se requiere estado de resultados con corte a 31 de marzo y 30 de junio de 2018.</t>
        </r>
      </text>
    </comment>
    <comment ref="Y39" authorId="0" shapeId="0">
      <text>
        <r>
          <rPr>
            <b/>
            <sz val="9"/>
            <color indexed="81"/>
            <rFont val="Tahoma"/>
            <family val="2"/>
          </rPr>
          <t>Diana Alessandra Blanco Bernal:</t>
        </r>
        <r>
          <rPr>
            <sz val="9"/>
            <color indexed="81"/>
            <rFont val="Tahoma"/>
            <family val="2"/>
          </rPr>
          <t xml:space="preserve">
Se requiere estado de resultados con corte a 31 de marzo y 30 de junio de 2018.</t>
        </r>
      </text>
    </comment>
    <comment ref="Y40" authorId="0" shapeId="0">
      <text>
        <r>
          <rPr>
            <b/>
            <sz val="9"/>
            <color indexed="81"/>
            <rFont val="Tahoma"/>
            <family val="2"/>
          </rPr>
          <t>Diana Alessandra Blanco Bernal:</t>
        </r>
        <r>
          <rPr>
            <sz val="9"/>
            <color indexed="81"/>
            <rFont val="Tahoma"/>
            <family val="2"/>
          </rPr>
          <t xml:space="preserve">
Se requiere estado de resultados con corte a 31 de marzo y 30 de junio de 2018.</t>
        </r>
      </text>
    </comment>
    <comment ref="Y42" authorId="0" shapeId="0">
      <text>
        <r>
          <rPr>
            <b/>
            <sz val="9"/>
            <color indexed="81"/>
            <rFont val="Tahoma"/>
            <family val="2"/>
          </rPr>
          <t>Diana Alessandra Blanco Bernal:</t>
        </r>
        <r>
          <rPr>
            <sz val="9"/>
            <color indexed="81"/>
            <rFont val="Tahoma"/>
            <family val="2"/>
          </rPr>
          <t xml:space="preserve">
Se requiere evidencia de los resultados obtenidos, por tanto se solicita Juego Completo de Estados Financieros con corte a 31 de marzo y 30 de junio de 2018.</t>
        </r>
      </text>
    </comment>
    <comment ref="S43" authorId="0" shapeId="0">
      <text>
        <r>
          <rPr>
            <b/>
            <sz val="9"/>
            <color indexed="81"/>
            <rFont val="Tahoma"/>
            <family val="2"/>
          </rPr>
          <t>Diana Alessandra Blanco Bernal:</t>
        </r>
        <r>
          <rPr>
            <sz val="9"/>
            <color indexed="81"/>
            <rFont val="Tahoma"/>
            <family val="2"/>
          </rPr>
          <t xml:space="preserve">
Validar si el resultado corresponde a $ 10.604.677, esto teniendo en cuenta la formula matematica, </t>
        </r>
      </text>
    </comment>
    <comment ref="Y43" authorId="0" shapeId="0">
      <text>
        <r>
          <rPr>
            <b/>
            <sz val="9"/>
            <color indexed="81"/>
            <rFont val="Tahoma"/>
            <family val="2"/>
          </rPr>
          <t>Diana Alessandra Blanco Bernal:</t>
        </r>
        <r>
          <rPr>
            <sz val="9"/>
            <color indexed="81"/>
            <rFont val="Tahoma"/>
            <family val="2"/>
          </rPr>
          <t xml:space="preserve">
Se requiere Estado de Resultados Integral con corte 30 de junio de 2018.</t>
        </r>
      </text>
    </comment>
    <comment ref="S44" authorId="0" shapeId="0">
      <text>
        <r>
          <rPr>
            <b/>
            <sz val="9"/>
            <color indexed="81"/>
            <rFont val="Tahoma"/>
            <family val="2"/>
          </rPr>
          <t>Diana Alessandra Blanco Bernal:</t>
        </r>
        <r>
          <rPr>
            <sz val="9"/>
            <color indexed="81"/>
            <rFont val="Tahoma"/>
            <family val="2"/>
          </rPr>
          <t xml:space="preserve">
Se requiere Estado de Resultado Integral con corte a 30 de junio de 2018.
</t>
        </r>
      </text>
    </comment>
    <comment ref="Y44" authorId="0" shapeId="0">
      <text>
        <r>
          <rPr>
            <b/>
            <sz val="9"/>
            <color indexed="81"/>
            <rFont val="Tahoma"/>
            <family val="2"/>
          </rPr>
          <t>Diana Alessandra Blanco Bernal:</t>
        </r>
        <r>
          <rPr>
            <sz val="9"/>
            <color indexed="81"/>
            <rFont val="Tahoma"/>
            <family val="2"/>
          </rPr>
          <t xml:space="preserve">
Se requiere Estado de Resultados Integral con corte 30 de junio de 2018.</t>
        </r>
      </text>
    </comment>
    <comment ref="Y45" authorId="0" shapeId="0">
      <text>
        <r>
          <rPr>
            <b/>
            <sz val="9"/>
            <color indexed="81"/>
            <rFont val="Tahoma"/>
            <family val="2"/>
          </rPr>
          <t>Diana Alessandra Blanco Bernal:</t>
        </r>
        <r>
          <rPr>
            <sz val="9"/>
            <color indexed="81"/>
            <rFont val="Tahoma"/>
            <family val="2"/>
          </rPr>
          <t xml:space="preserve">
Se requiere Estado de Resultado Integral con corte a 30 de junio de 2018.</t>
        </r>
      </text>
    </comment>
    <comment ref="H47" authorId="0" shapeId="0">
      <text>
        <r>
          <rPr>
            <b/>
            <sz val="9"/>
            <color indexed="81"/>
            <rFont val="Tahoma"/>
            <family val="2"/>
          </rPr>
          <t>Diana Alessandra Blanco Bernal:</t>
        </r>
        <r>
          <rPr>
            <sz val="9"/>
            <color indexed="81"/>
            <rFont val="Tahoma"/>
            <family val="2"/>
          </rPr>
          <t xml:space="preserve">
Se efectua control de cambios conforme a solicitud.</t>
        </r>
      </text>
    </comment>
    <comment ref="M47" authorId="4" shapeId="0">
      <text>
        <r>
          <rPr>
            <b/>
            <sz val="9"/>
            <color indexed="81"/>
            <rFont val="Tahoma"/>
            <family val="2"/>
          </rPr>
          <t>Diana.Blanco:</t>
        </r>
        <r>
          <rPr>
            <sz val="9"/>
            <color indexed="81"/>
            <rFont val="Tahoma"/>
            <family val="2"/>
          </rPr>
          <t xml:space="preserve">
Se sugiere efectuar mediciones mensuales.</t>
        </r>
      </text>
    </comment>
    <comment ref="N47" authorId="4" shapeId="0">
      <text>
        <r>
          <rPr>
            <b/>
            <sz val="9"/>
            <color indexed="81"/>
            <rFont val="Tahoma"/>
            <family val="2"/>
          </rPr>
          <t>Diana.Blanco:</t>
        </r>
        <r>
          <rPr>
            <sz val="9"/>
            <color indexed="81"/>
            <rFont val="Tahoma"/>
            <family val="2"/>
          </rPr>
          <t xml:space="preserve">
Se sugiere efectuar mediciones mensuales.</t>
        </r>
      </text>
    </comment>
    <comment ref="H48" authorId="0" shapeId="0">
      <text>
        <r>
          <rPr>
            <b/>
            <sz val="9"/>
            <color indexed="81"/>
            <rFont val="Tahoma"/>
            <family val="2"/>
          </rPr>
          <t>Diana Alessandra Blanco Bernal:</t>
        </r>
        <r>
          <rPr>
            <sz val="9"/>
            <color indexed="81"/>
            <rFont val="Tahoma"/>
            <family val="2"/>
          </rPr>
          <t xml:space="preserve">
Se efectua control de cambios conforme a solicitud.</t>
        </r>
      </text>
    </comment>
    <comment ref="J48" authorId="0" shapeId="0">
      <text>
        <r>
          <rPr>
            <b/>
            <sz val="9"/>
            <color indexed="81"/>
            <rFont val="Tahoma"/>
            <family val="2"/>
          </rPr>
          <t>Diana Alessandra Blanco Bernal:</t>
        </r>
        <r>
          <rPr>
            <sz val="9"/>
            <color indexed="81"/>
            <rFont val="Tahoma"/>
            <family val="2"/>
          </rPr>
          <t xml:space="preserve">
Se efectua cambio conforme a solicitud.</t>
        </r>
      </text>
    </comment>
    <comment ref="K48" authorId="0" shapeId="0">
      <text>
        <r>
          <rPr>
            <b/>
            <sz val="9"/>
            <color indexed="81"/>
            <rFont val="Tahoma"/>
            <family val="2"/>
          </rPr>
          <t>Diana Alessandra Blanco Bernal:</t>
        </r>
        <r>
          <rPr>
            <sz val="9"/>
            <color indexed="81"/>
            <rFont val="Tahoma"/>
            <family val="2"/>
          </rPr>
          <t xml:space="preserve">
Se efectua control de cambios conforme a solicitud.</t>
        </r>
      </text>
    </comment>
    <comment ref="H49" authorId="0" shapeId="0">
      <text>
        <r>
          <rPr>
            <b/>
            <sz val="9"/>
            <color indexed="81"/>
            <rFont val="Tahoma"/>
            <family val="2"/>
          </rPr>
          <t>Diana Alessandra Blanco Bernal:</t>
        </r>
        <r>
          <rPr>
            <sz val="9"/>
            <color indexed="81"/>
            <rFont val="Tahoma"/>
            <family val="2"/>
          </rPr>
          <t xml:space="preserve">
Se efectua control de cambios conforme a solicitud.</t>
        </r>
      </text>
    </comment>
    <comment ref="J49" authorId="0" shapeId="0">
      <text>
        <r>
          <rPr>
            <b/>
            <sz val="9"/>
            <color indexed="81"/>
            <rFont val="Tahoma"/>
            <family val="2"/>
          </rPr>
          <t>Diana Alessandra Blanco Bernal:</t>
        </r>
        <r>
          <rPr>
            <sz val="9"/>
            <color indexed="81"/>
            <rFont val="Tahoma"/>
            <family val="2"/>
          </rPr>
          <t xml:space="preserve">
Se efectua control de cambios conforme a solicitud.</t>
        </r>
      </text>
    </comment>
    <comment ref="K49" authorId="0" shapeId="0">
      <text>
        <r>
          <rPr>
            <b/>
            <sz val="9"/>
            <color indexed="81"/>
            <rFont val="Tahoma"/>
            <family val="2"/>
          </rPr>
          <t>Diana Alessandra Blanco Bernal:</t>
        </r>
        <r>
          <rPr>
            <sz val="9"/>
            <color indexed="81"/>
            <rFont val="Tahoma"/>
            <family val="2"/>
          </rPr>
          <t xml:space="preserve">
Se efectua control de cambios conforme a solicitud.
</t>
        </r>
      </text>
    </comment>
    <comment ref="M49" authorId="0" shapeId="0">
      <text>
        <r>
          <rPr>
            <b/>
            <sz val="9"/>
            <color indexed="81"/>
            <rFont val="Tahoma"/>
            <family val="2"/>
          </rPr>
          <t>Diana Alessandra Blanco Bernal:</t>
        </r>
        <r>
          <rPr>
            <sz val="9"/>
            <color indexed="81"/>
            <rFont val="Tahoma"/>
            <family val="2"/>
          </rPr>
          <t xml:space="preserve">
Se requiere diligenciar el campo frecuencia de medición.</t>
        </r>
      </text>
    </comment>
    <comment ref="K50" authorId="0" shapeId="0">
      <text>
        <r>
          <rPr>
            <b/>
            <sz val="9"/>
            <color indexed="81"/>
            <rFont val="Tahoma"/>
            <family val="2"/>
          </rPr>
          <t>Diana Alessandra Blanco Bernal:</t>
        </r>
        <r>
          <rPr>
            <sz val="9"/>
            <color indexed="81"/>
            <rFont val="Tahoma"/>
            <family val="2"/>
          </rPr>
          <t xml:space="preserve">
Se efectua control de cambios conforme a solicitud.
</t>
        </r>
      </text>
    </comment>
    <comment ref="H51" authorId="0" shapeId="0">
      <text>
        <r>
          <rPr>
            <b/>
            <sz val="9"/>
            <color indexed="81"/>
            <rFont val="Tahoma"/>
            <family val="2"/>
          </rPr>
          <t>Diana Alessandra Blanco Bernal:</t>
        </r>
        <r>
          <rPr>
            <sz val="9"/>
            <color indexed="81"/>
            <rFont val="Tahoma"/>
            <family val="2"/>
          </rPr>
          <t xml:space="preserve">
Se efectua control de cambios conforme a solicitud.</t>
        </r>
      </text>
    </comment>
    <comment ref="K51" authorId="0" shapeId="0">
      <text>
        <r>
          <rPr>
            <b/>
            <sz val="9"/>
            <color indexed="81"/>
            <rFont val="Tahoma"/>
            <family val="2"/>
          </rPr>
          <t>Diana Alessandra Blanco Bernal:</t>
        </r>
        <r>
          <rPr>
            <sz val="9"/>
            <color indexed="81"/>
            <rFont val="Tahoma"/>
            <family val="2"/>
          </rPr>
          <t xml:space="preserve">
Se efectua control de cambios conforme a solicitud.
</t>
        </r>
      </text>
    </comment>
    <comment ref="M51" authorId="0" shapeId="0">
      <text>
        <r>
          <rPr>
            <b/>
            <sz val="9"/>
            <color indexed="81"/>
            <rFont val="Tahoma"/>
            <family val="2"/>
          </rPr>
          <t>Diana Alessandra Blanco Bernal:</t>
        </r>
        <r>
          <rPr>
            <sz val="9"/>
            <color indexed="81"/>
            <rFont val="Tahoma"/>
            <family val="2"/>
          </rPr>
          <t xml:space="preserve">
Se efectua control de cambios conforme a solicitud.</t>
        </r>
      </text>
    </comment>
    <comment ref="K52" authorId="0" shapeId="0">
      <text>
        <r>
          <rPr>
            <b/>
            <sz val="9"/>
            <color indexed="81"/>
            <rFont val="Tahoma"/>
            <family val="2"/>
          </rPr>
          <t>Diana Alessandra Blanco Bernal:</t>
        </r>
        <r>
          <rPr>
            <sz val="9"/>
            <color indexed="81"/>
            <rFont val="Tahoma"/>
            <family val="2"/>
          </rPr>
          <t xml:space="preserve">
Se efectua control de cambios conforme a solicitud.
</t>
        </r>
      </text>
    </comment>
    <comment ref="K54" authorId="0" shapeId="0">
      <text>
        <r>
          <rPr>
            <b/>
            <sz val="9"/>
            <color indexed="81"/>
            <rFont val="Tahoma"/>
            <family val="2"/>
          </rPr>
          <t>Diana Alessandra Blanco Bernal:</t>
        </r>
        <r>
          <rPr>
            <sz val="9"/>
            <color indexed="81"/>
            <rFont val="Tahoma"/>
            <family val="2"/>
          </rPr>
          <t xml:space="preserve">
Se efectua control de cambios conforme a solicitud.
</t>
        </r>
      </text>
    </comment>
    <comment ref="H55" authorId="0" shapeId="0">
      <text>
        <r>
          <rPr>
            <b/>
            <sz val="9"/>
            <color indexed="81"/>
            <rFont val="Tahoma"/>
            <family val="2"/>
          </rPr>
          <t>Diana Alessandra Blanco Bernal:</t>
        </r>
        <r>
          <rPr>
            <sz val="9"/>
            <color indexed="81"/>
            <rFont val="Tahoma"/>
            <family val="2"/>
          </rPr>
          <t xml:space="preserve">
Se efectua control de cambios conforme a solicitud.</t>
        </r>
      </text>
    </comment>
    <comment ref="J55" authorId="0" shapeId="0">
      <text>
        <r>
          <rPr>
            <b/>
            <sz val="9"/>
            <color indexed="81"/>
            <rFont val="Tahoma"/>
            <family val="2"/>
          </rPr>
          <t>Diana Alessandra Blanco Bernal:</t>
        </r>
        <r>
          <rPr>
            <sz val="9"/>
            <color indexed="81"/>
            <rFont val="Tahoma"/>
            <family val="2"/>
          </rPr>
          <t xml:space="preserve">
Se efectua control de cambios conforme a solicitud.</t>
        </r>
      </text>
    </comment>
    <comment ref="K55" authorId="0" shapeId="0">
      <text>
        <r>
          <rPr>
            <b/>
            <sz val="9"/>
            <color indexed="81"/>
            <rFont val="Tahoma"/>
            <family val="2"/>
          </rPr>
          <t>Diana Alessandra Blanco Bernal:</t>
        </r>
        <r>
          <rPr>
            <sz val="9"/>
            <color indexed="81"/>
            <rFont val="Tahoma"/>
            <family val="2"/>
          </rPr>
          <t xml:space="preserve">
Definir unidad de medida para el indicador de gestión, esto con el fin de efectuar el seguimiento pertinente.
</t>
        </r>
      </text>
    </comment>
    <comment ref="O55" authorId="0" shapeId="0">
      <text>
        <r>
          <rPr>
            <b/>
            <sz val="9"/>
            <color indexed="81"/>
            <rFont val="Tahoma"/>
            <family val="2"/>
          </rPr>
          <t>Diana Alessandra Blanco Bernal:</t>
        </r>
        <r>
          <rPr>
            <sz val="9"/>
            <color indexed="81"/>
            <rFont val="Tahoma"/>
            <family val="2"/>
          </rPr>
          <t xml:space="preserve">
Se requiere remitir evidencia del valor(457) reportado, esto con el fin de efectuar el seguimiento pertinente.</t>
        </r>
      </text>
    </comment>
    <comment ref="H56" authorId="0" shapeId="0">
      <text>
        <r>
          <rPr>
            <b/>
            <sz val="9"/>
            <color indexed="81"/>
            <rFont val="Tahoma"/>
            <family val="2"/>
          </rPr>
          <t>Diana Alessandra Blanco Bernal:</t>
        </r>
        <r>
          <rPr>
            <sz val="9"/>
            <color indexed="81"/>
            <rFont val="Tahoma"/>
            <family val="2"/>
          </rPr>
          <t xml:space="preserve">
Se efectua control de cambios conforme a solicitud.</t>
        </r>
      </text>
    </comment>
    <comment ref="K56" authorId="0" shapeId="0">
      <text>
        <r>
          <rPr>
            <b/>
            <sz val="9"/>
            <color indexed="81"/>
            <rFont val="Tahoma"/>
            <family val="2"/>
          </rPr>
          <t>Diana Alessandra Blanco Bernal:</t>
        </r>
        <r>
          <rPr>
            <sz val="9"/>
            <color indexed="81"/>
            <rFont val="Tahoma"/>
            <family val="2"/>
          </rPr>
          <t xml:space="preserve">
Definir unidad de medida para el indicador de gestión, esto con el fin de efectuar el seguimiento pertinente.</t>
        </r>
      </text>
    </comment>
    <comment ref="O56" authorId="0" shapeId="0">
      <text>
        <r>
          <rPr>
            <b/>
            <sz val="9"/>
            <color indexed="81"/>
            <rFont val="Tahoma"/>
            <family val="2"/>
          </rPr>
          <t>Diana Alessandra Blanco Bernal:</t>
        </r>
        <r>
          <rPr>
            <sz val="9"/>
            <color indexed="81"/>
            <rFont val="Tahoma"/>
            <family val="2"/>
          </rPr>
          <t xml:space="preserve">
Se requiere remitir la evidencia de los (7) mantenimientos efectuados para el periodo de enero de 2018.</t>
        </r>
      </text>
    </comment>
    <comment ref="Q56" authorId="0" shapeId="0">
      <text>
        <r>
          <rPr>
            <b/>
            <sz val="9"/>
            <color indexed="81"/>
            <rFont val="Tahoma"/>
            <family val="2"/>
          </rPr>
          <t>Diana Alessandra Blanco Bernal:</t>
        </r>
        <r>
          <rPr>
            <sz val="9"/>
            <color indexed="81"/>
            <rFont val="Tahoma"/>
            <family val="2"/>
          </rPr>
          <t xml:space="preserve">
Se requiere remitir la evidencia de los (16) mantenimientos efectuados para el periodo de febrero
 de 2018.</t>
        </r>
      </text>
    </comment>
    <comment ref="S56" authorId="0" shapeId="0">
      <text>
        <r>
          <rPr>
            <b/>
            <sz val="9"/>
            <color indexed="81"/>
            <rFont val="Tahoma"/>
            <family val="2"/>
          </rPr>
          <t>Diana Alessandra Blanco Bernal:</t>
        </r>
        <r>
          <rPr>
            <sz val="9"/>
            <color indexed="81"/>
            <rFont val="Tahoma"/>
            <family val="2"/>
          </rPr>
          <t xml:space="preserve">
Se requiere remitir la evidencia de los (4) mantenimientos efectuados para el periodo de marzo
 de 2018.</t>
        </r>
      </text>
    </comment>
    <comment ref="G58" authorId="0" shapeId="0">
      <text>
        <r>
          <rPr>
            <b/>
            <sz val="9"/>
            <color indexed="81"/>
            <rFont val="Tahoma"/>
            <family val="2"/>
          </rPr>
          <t>Diana Alessandra Blanco Bernal:</t>
        </r>
        <r>
          <rPr>
            <sz val="9"/>
            <color indexed="81"/>
            <rFont val="Tahoma"/>
            <family val="2"/>
          </rPr>
          <t xml:space="preserve">
Se solicita Plan de capacitaciones y bienestar social, esto con el fin de analizar la información remitida.
                                                                                                                                                                                                                                 </t>
        </r>
      </text>
    </comment>
    <comment ref="AK58" authorId="0" shapeId="0">
      <text>
        <r>
          <rPr>
            <b/>
            <sz val="9"/>
            <color indexed="81"/>
            <rFont val="Tahoma"/>
            <family val="2"/>
          </rPr>
          <t>Diana Alessandra Blanco Bernal:</t>
        </r>
        <r>
          <rPr>
            <sz val="9"/>
            <color indexed="81"/>
            <rFont val="Tahoma"/>
            <family val="2"/>
          </rPr>
          <t xml:space="preserve">
Nuevamente se recomienda dar aplicación de la formulación matemática, esto con el fin de visualizar los resultados obtenidos, y ejecutar los debidos procesos de seguimiento, los cuales obedecen a análisis y ponderaciones por parte de la gestión de la Oficina Asesora de Planeación y Sistemas de Información.</t>
        </r>
      </text>
    </comment>
    <comment ref="AL58" authorId="0" shapeId="0">
      <text>
        <r>
          <rPr>
            <b/>
            <sz val="9"/>
            <color indexed="81"/>
            <rFont val="Tahoma"/>
            <family val="2"/>
          </rPr>
          <t>Diana Alessandra Blanco Bernal:</t>
        </r>
        <r>
          <rPr>
            <sz val="9"/>
            <color indexed="81"/>
            <rFont val="Tahoma"/>
            <family val="2"/>
          </rPr>
          <t xml:space="preserve">
En lo concerniente al Plan de Capacitación se requiere exponer y allegar los factores y sucesos que conllevaron al no logro de la meta establecida en el cronograma para la vigencia 2018, así mismo se requiere nuevamente allegar el Plan de capacitaciones 2018.</t>
        </r>
      </text>
    </comment>
    <comment ref="G59" authorId="0" shapeId="0">
      <text>
        <r>
          <rPr>
            <b/>
            <sz val="9"/>
            <color indexed="81"/>
            <rFont val="Tahoma"/>
            <family val="2"/>
          </rPr>
          <t>Diana Alessandra Blanco Bernal:</t>
        </r>
        <r>
          <rPr>
            <sz val="9"/>
            <color indexed="81"/>
            <rFont val="Tahoma"/>
            <family val="2"/>
          </rPr>
          <t xml:space="preserve">
Se solicita Plan de capacitaciones y bienestar social, esto con el fin de analizar la información remitida.</t>
        </r>
      </text>
    </comment>
    <comment ref="AK59" authorId="0" shapeId="0">
      <text>
        <r>
          <rPr>
            <b/>
            <sz val="9"/>
            <color indexed="81"/>
            <rFont val="Tahoma"/>
            <family val="2"/>
          </rPr>
          <t>Diana Alessandra Blanco Bernal:</t>
        </r>
        <r>
          <rPr>
            <sz val="9"/>
            <color indexed="81"/>
            <rFont val="Tahoma"/>
            <family val="2"/>
          </rPr>
          <t xml:space="preserve">
Nuevamente se recomienda dar aplicación de la formulación matemática, esto con el fin de visualizar los resultados obtenidos, y ejecutar los debidos procesos de seguimiento, los cuales obedecen a análisis y ponderaciones por parte de la gestión de la Oficina Asesora de Planeación y Sistemas de Información.</t>
        </r>
      </text>
    </comment>
    <comment ref="AK60" authorId="0" shapeId="0">
      <text>
        <r>
          <rPr>
            <b/>
            <sz val="9"/>
            <color indexed="81"/>
            <rFont val="Tahoma"/>
            <family val="2"/>
          </rPr>
          <t>Diana Alessandra Blanco Bernal:</t>
        </r>
        <r>
          <rPr>
            <sz val="9"/>
            <color indexed="81"/>
            <rFont val="Tahoma"/>
            <family val="2"/>
          </rPr>
          <t xml:space="preserve">
Nuevamente se recomienda dar aplicación de la formulación matemática, esto con el fin de visualizar los resultados obtenidos, y ejecutar los debidos procesos de seguimiento, los cuales obedecen a análisis y ponderaciones por parte de la gestión de la Oficina Asesora de Planeación y Sistemas de Información.</t>
        </r>
      </text>
    </comment>
    <comment ref="AL60" authorId="0" shapeId="0">
      <text>
        <r>
          <rPr>
            <b/>
            <sz val="9"/>
            <color indexed="81"/>
            <rFont val="Tahoma"/>
            <family val="2"/>
          </rPr>
          <t>Diana Alessandra Blanco Bernal:</t>
        </r>
        <r>
          <rPr>
            <sz val="9"/>
            <color indexed="81"/>
            <rFont val="Tahoma"/>
            <family val="2"/>
          </rPr>
          <t xml:space="preserve">
</t>
        </r>
      </text>
    </comment>
    <comment ref="AK61" authorId="0" shapeId="0">
      <text>
        <r>
          <rPr>
            <b/>
            <sz val="9"/>
            <color indexed="81"/>
            <rFont val="Tahoma"/>
            <family val="2"/>
          </rPr>
          <t xml:space="preserve">Diana Alessandra Blanco Bernal:
</t>
        </r>
        <r>
          <rPr>
            <sz val="9"/>
            <color indexed="81"/>
            <rFont val="Tahoma"/>
            <family val="2"/>
          </rPr>
          <t>Nuevamente se recomienda dar aplicación de la formulación matemática, esto con el fin de visualizar los resultados obtenidos, y ejecutar los debidos procesos de seguimiento, los cuales obedecen a análisis y ponderaciones por parte de la gestión de la Oficina Asesora de Planeación y Sistemas de Información.</t>
        </r>
      </text>
    </comment>
    <comment ref="AL61" authorId="0" shapeId="0">
      <text>
        <r>
          <rPr>
            <b/>
            <sz val="9"/>
            <color indexed="81"/>
            <rFont val="Tahoma"/>
            <family val="2"/>
          </rPr>
          <t>Diana Alessandra Blanco Bernal:</t>
        </r>
        <r>
          <rPr>
            <sz val="9"/>
            <color indexed="81"/>
            <rFont val="Tahoma"/>
            <family val="2"/>
          </rPr>
          <t xml:space="preserve">
</t>
        </r>
      </text>
    </comment>
    <comment ref="AK63" authorId="0" shapeId="0">
      <text>
        <r>
          <rPr>
            <b/>
            <sz val="9"/>
            <color indexed="81"/>
            <rFont val="Tahoma"/>
            <family val="2"/>
          </rPr>
          <t>Diana Alessandra Blanco Bernal:</t>
        </r>
        <r>
          <rPr>
            <sz val="9"/>
            <color indexed="81"/>
            <rFont val="Tahoma"/>
            <family val="2"/>
          </rPr>
          <t xml:space="preserve">
Nuevamente se recomienda dar aplicación de la formulación matemática, esto con el fin de visualizar los resultados obtenidos, y ejecutar los debidos procesos de seguimiento, los cuales obedecen a análisis y ponderaciones por parte de la gestión de la Oficina Asesora de Planeación y Sistemas de Información.</t>
        </r>
      </text>
    </comment>
    <comment ref="M64" authorId="0" shapeId="0">
      <text>
        <r>
          <rPr>
            <b/>
            <sz val="9"/>
            <color indexed="81"/>
            <rFont val="Tahoma"/>
            <family val="2"/>
          </rPr>
          <t>Diana Alessandra Blanco Bernal:</t>
        </r>
        <r>
          <rPr>
            <sz val="9"/>
            <color indexed="81"/>
            <rFont val="Tahoma"/>
            <family val="2"/>
          </rPr>
          <t xml:space="preserve">
Se recomienda efectuar control de cambios al indicador Plan Intervención Clima Laboral, en lo que refiere a frecuencia de medición y analisis.
</t>
        </r>
      </text>
    </comment>
    <comment ref="N64" authorId="0" shapeId="0">
      <text>
        <r>
          <rPr>
            <b/>
            <sz val="9"/>
            <color indexed="81"/>
            <rFont val="Tahoma"/>
            <family val="2"/>
          </rPr>
          <t>Diana Alessandra Blanco Bernal:</t>
        </r>
        <r>
          <rPr>
            <sz val="9"/>
            <color indexed="81"/>
            <rFont val="Tahoma"/>
            <family val="2"/>
          </rPr>
          <t xml:space="preserve">
Se recomienda efectuar control de cambios al indicador Plan Intervención Clima Laboral, en lo que refiere a frecuencia de medición y analisis.</t>
        </r>
      </text>
    </comment>
    <comment ref="O65" authorId="0" shapeId="0">
      <text>
        <r>
          <rPr>
            <b/>
            <sz val="9"/>
            <color indexed="81"/>
            <rFont val="Tahoma"/>
            <family val="2"/>
          </rPr>
          <t>Diana Alessandra Blanco Bernal:</t>
        </r>
        <r>
          <rPr>
            <sz val="9"/>
            <color indexed="81"/>
            <rFont val="Tahoma"/>
            <family val="2"/>
          </rPr>
          <t xml:space="preserve">
Se requiere se allegue a la Oficina Asesora de Planeación y Sistema de Información, la evidencia de solicitudes requeridas a la Gestión Jurídica de la entidad.</t>
        </r>
      </text>
    </comment>
    <comment ref="Q65" authorId="0" shapeId="0">
      <text>
        <r>
          <rPr>
            <b/>
            <sz val="9"/>
            <color indexed="81"/>
            <rFont val="Tahoma"/>
            <family val="2"/>
          </rPr>
          <t>Diana Alessandra Blanco Bernal:</t>
        </r>
        <r>
          <rPr>
            <sz val="9"/>
            <color indexed="81"/>
            <rFont val="Tahoma"/>
            <family val="2"/>
          </rPr>
          <t xml:space="preserve">
Se requiere se allegue a la Oficina Asesora de Planeación y Sistema de Información, la evidencia de solicitudes requeridas a la Gestión Jurídica de la entidad</t>
        </r>
      </text>
    </comment>
    <comment ref="S65" authorId="0" shapeId="0">
      <text>
        <r>
          <rPr>
            <b/>
            <sz val="9"/>
            <color indexed="81"/>
            <rFont val="Tahoma"/>
            <family val="2"/>
          </rPr>
          <t>Diana Alessandra Blanco Bernal:</t>
        </r>
        <r>
          <rPr>
            <sz val="9"/>
            <color indexed="81"/>
            <rFont val="Tahoma"/>
            <family val="2"/>
          </rPr>
          <t xml:space="preserve">
Se requiere se allegue a la Oficina Asesora de Planeación y Sistema de Información, la evidencia de solicitudes requeridas a la Gestión Jurídica de la entidad.
</t>
        </r>
      </text>
    </comment>
    <comment ref="AE65" authorId="0" shapeId="0">
      <text>
        <r>
          <rPr>
            <b/>
            <sz val="9"/>
            <color indexed="81"/>
            <rFont val="Tahoma"/>
            <family val="2"/>
          </rPr>
          <t>Diana Alessandra Blanco Bernal:</t>
        </r>
        <r>
          <rPr>
            <sz val="9"/>
            <color indexed="81"/>
            <rFont val="Tahoma"/>
            <family val="2"/>
          </rPr>
          <t xml:space="preserve">
Se requiere aplicar formula matematica, esto con el fin de visualizar los resultados obtenidos frente a la meta establecida.</t>
        </r>
      </text>
    </comment>
    <comment ref="AG65" authorId="0" shapeId="0">
      <text>
        <r>
          <rPr>
            <b/>
            <sz val="9"/>
            <color indexed="81"/>
            <rFont val="Tahoma"/>
            <family val="2"/>
          </rPr>
          <t>Diana Alessandra Blanco Bernal:</t>
        </r>
        <r>
          <rPr>
            <sz val="9"/>
            <color indexed="81"/>
            <rFont val="Tahoma"/>
            <family val="2"/>
          </rPr>
          <t xml:space="preserve">
Efectuar aplicabilidad de la fórmula matemática para los periodos reportados. </t>
        </r>
      </text>
    </comment>
    <comment ref="AI65" authorId="0" shapeId="0">
      <text>
        <r>
          <rPr>
            <b/>
            <sz val="9"/>
            <color indexed="81"/>
            <rFont val="Tahoma"/>
            <family val="2"/>
          </rPr>
          <t>Diana Alessandra Blanco Bernal:</t>
        </r>
        <r>
          <rPr>
            <sz val="9"/>
            <color indexed="81"/>
            <rFont val="Tahoma"/>
            <family val="2"/>
          </rPr>
          <t xml:space="preserve">
Efectuar aplicabilidad de la fórmula matemática para los periodos reportados. </t>
        </r>
      </text>
    </comment>
    <comment ref="AK65" authorId="0" shapeId="0">
      <text>
        <r>
          <rPr>
            <b/>
            <sz val="9"/>
            <color indexed="81"/>
            <rFont val="Tahoma"/>
            <family val="2"/>
          </rPr>
          <t>Diana Alessandra Blanco Bernal:</t>
        </r>
        <r>
          <rPr>
            <sz val="9"/>
            <color indexed="81"/>
            <rFont val="Tahoma"/>
            <family val="2"/>
          </rPr>
          <t xml:space="preserve">
Efectuar aplicabilidad de la fórmula matemática para los periodos reportados. </t>
        </r>
      </text>
    </comment>
    <comment ref="AE66" authorId="0" shapeId="0">
      <text>
        <r>
          <rPr>
            <b/>
            <sz val="9"/>
            <color indexed="81"/>
            <rFont val="Tahoma"/>
            <family val="2"/>
          </rPr>
          <t>Diana Alessandra Blanco Bernal:</t>
        </r>
        <r>
          <rPr>
            <sz val="9"/>
            <color indexed="81"/>
            <rFont val="Tahoma"/>
            <family val="2"/>
          </rPr>
          <t xml:space="preserve">
Se requiere aplicar formula matematica, esto con el fin de visualizar los resultados obtenidos frente a la meta establecida.</t>
        </r>
      </text>
    </comment>
    <comment ref="AG66" authorId="0" shapeId="0">
      <text>
        <r>
          <rPr>
            <b/>
            <sz val="9"/>
            <color indexed="81"/>
            <rFont val="Tahoma"/>
            <family val="2"/>
          </rPr>
          <t>Diana Alessandra Blanco Bernal:</t>
        </r>
        <r>
          <rPr>
            <sz val="9"/>
            <color indexed="81"/>
            <rFont val="Tahoma"/>
            <family val="2"/>
          </rPr>
          <t xml:space="preserve">
Efectuar aplicabilidad de la fórmula matemática para los periodos reportados. </t>
        </r>
      </text>
    </comment>
    <comment ref="AI66" authorId="0" shapeId="0">
      <text>
        <r>
          <rPr>
            <b/>
            <sz val="9"/>
            <color indexed="81"/>
            <rFont val="Tahoma"/>
            <family val="2"/>
          </rPr>
          <t>Diana Alessandra Blanco Bernal:</t>
        </r>
        <r>
          <rPr>
            <sz val="9"/>
            <color indexed="81"/>
            <rFont val="Tahoma"/>
            <family val="2"/>
          </rPr>
          <t xml:space="preserve">
Efectuar aplicabilidad de la fórmula matemática para los periodos reportados. </t>
        </r>
      </text>
    </comment>
    <comment ref="AK66" authorId="0" shapeId="0">
      <text>
        <r>
          <rPr>
            <b/>
            <sz val="9"/>
            <color indexed="81"/>
            <rFont val="Tahoma"/>
            <family val="2"/>
          </rPr>
          <t>Diana Alessandra Blanco Bernal:</t>
        </r>
        <r>
          <rPr>
            <sz val="9"/>
            <color indexed="81"/>
            <rFont val="Tahoma"/>
            <family val="2"/>
          </rPr>
          <t xml:space="preserve">
Efectuar aplicabilidad de la fórmula matemática para los periodos reportados. </t>
        </r>
      </text>
    </comment>
    <comment ref="AE67" authorId="0" shapeId="0">
      <text>
        <r>
          <rPr>
            <b/>
            <sz val="9"/>
            <color indexed="81"/>
            <rFont val="Tahoma"/>
            <family val="2"/>
          </rPr>
          <t>Diana Alessandra Blanco Bernal:</t>
        </r>
        <r>
          <rPr>
            <sz val="9"/>
            <color indexed="81"/>
            <rFont val="Tahoma"/>
            <family val="2"/>
          </rPr>
          <t xml:space="preserve">
Se requiere aplicar formula matematica, esto con el fin de visualizar los resultados obtenidos frente a la meta establecida.</t>
        </r>
      </text>
    </comment>
    <comment ref="AI67" authorId="0" shapeId="0">
      <text>
        <r>
          <rPr>
            <b/>
            <sz val="9"/>
            <color indexed="81"/>
            <rFont val="Tahoma"/>
            <family val="2"/>
          </rPr>
          <t>Diana Alessandra Blanco Bernal:</t>
        </r>
        <r>
          <rPr>
            <sz val="9"/>
            <color indexed="81"/>
            <rFont val="Tahoma"/>
            <family val="2"/>
          </rPr>
          <t xml:space="preserve">
Efectuar aplicabilidad de la fórmula matemática para los periodos reportados. </t>
        </r>
      </text>
    </comment>
    <comment ref="AK67" authorId="0" shapeId="0">
      <text>
        <r>
          <rPr>
            <b/>
            <sz val="9"/>
            <color indexed="81"/>
            <rFont val="Tahoma"/>
            <family val="2"/>
          </rPr>
          <t>Diana Alessandra Blanco Bernal:</t>
        </r>
        <r>
          <rPr>
            <sz val="9"/>
            <color indexed="81"/>
            <rFont val="Tahoma"/>
            <family val="2"/>
          </rPr>
          <t xml:space="preserve">
Efectuar aplicabilidad de la fórmula matemática para los periodos reportados. </t>
        </r>
      </text>
    </comment>
    <comment ref="Q68" authorId="0" shapeId="0">
      <text>
        <r>
          <rPr>
            <b/>
            <sz val="9"/>
            <color indexed="81"/>
            <rFont val="Tahoma"/>
            <family val="2"/>
          </rPr>
          <t>Diana Alessandra Blanco Bernal:</t>
        </r>
        <r>
          <rPr>
            <sz val="9"/>
            <color indexed="81"/>
            <rFont val="Tahoma"/>
            <family val="2"/>
          </rPr>
          <t xml:space="preserve">
Se requiere se allegue a la Oficina Asesora de Planeación y Sistema de Información, la evidencia de solicitudes requeridas a la Gestión Jurídica de la entidad.</t>
        </r>
      </text>
    </comment>
    <comment ref="AE68" authorId="0" shapeId="0">
      <text>
        <r>
          <rPr>
            <b/>
            <sz val="9"/>
            <color indexed="81"/>
            <rFont val="Tahoma"/>
            <family val="2"/>
          </rPr>
          <t>Diana Alessandra Blanco Bernal:</t>
        </r>
        <r>
          <rPr>
            <sz val="9"/>
            <color indexed="81"/>
            <rFont val="Tahoma"/>
            <family val="2"/>
          </rPr>
          <t xml:space="preserve">
Se requiere aplicar formula matematica, esto con el fin de visualizar los resultados obtenidos frente a la meta establecida.</t>
        </r>
      </text>
    </comment>
    <comment ref="AG68" authorId="0" shapeId="0">
      <text>
        <r>
          <rPr>
            <b/>
            <sz val="9"/>
            <color indexed="81"/>
            <rFont val="Tahoma"/>
            <family val="2"/>
          </rPr>
          <t>Diana Alessandra Blanco Bernal:</t>
        </r>
        <r>
          <rPr>
            <sz val="9"/>
            <color indexed="81"/>
            <rFont val="Tahoma"/>
            <family val="2"/>
          </rPr>
          <t xml:space="preserve">
Efectuar aplicabilidad de la fórmula matemática para los periodos reportados. </t>
        </r>
      </text>
    </comment>
    <comment ref="AI68" authorId="0" shapeId="0">
      <text>
        <r>
          <rPr>
            <b/>
            <sz val="9"/>
            <color indexed="81"/>
            <rFont val="Tahoma"/>
            <family val="2"/>
          </rPr>
          <t>Diana Alessandra Blanco Bernal:</t>
        </r>
        <r>
          <rPr>
            <sz val="9"/>
            <color indexed="81"/>
            <rFont val="Tahoma"/>
            <family val="2"/>
          </rPr>
          <t xml:space="preserve">
Efectuar aplicabilidad de la fórmula matemática para los periodos reportados. </t>
        </r>
      </text>
    </comment>
    <comment ref="AK68" authorId="0" shapeId="0">
      <text>
        <r>
          <rPr>
            <b/>
            <sz val="9"/>
            <color indexed="81"/>
            <rFont val="Tahoma"/>
            <family val="2"/>
          </rPr>
          <t>Diana Alessandra Blanco Bernal:</t>
        </r>
        <r>
          <rPr>
            <sz val="9"/>
            <color indexed="81"/>
            <rFont val="Tahoma"/>
            <family val="2"/>
          </rPr>
          <t xml:space="preserve">
Efectuar aplicabilidad de la fórmula matemática para los periodos reportados. </t>
        </r>
      </text>
    </comment>
    <comment ref="Q69" authorId="0" shapeId="0">
      <text>
        <r>
          <rPr>
            <b/>
            <sz val="9"/>
            <color indexed="81"/>
            <rFont val="Tahoma"/>
            <family val="2"/>
          </rPr>
          <t>Diana Alessandra Blanco Bernal:</t>
        </r>
        <r>
          <rPr>
            <sz val="9"/>
            <color indexed="81"/>
            <rFont val="Tahoma"/>
            <family val="2"/>
          </rPr>
          <t xml:space="preserve">
Se requiere se allegue a la Oficina Asesora de Planeación y Sistema de Información, la evidencia de solicitudes requeridas a la Gestión Jurídica de la entidad.</t>
        </r>
      </text>
    </comment>
    <comment ref="AE69" authorId="0" shapeId="0">
      <text>
        <r>
          <rPr>
            <b/>
            <sz val="9"/>
            <color indexed="81"/>
            <rFont val="Tahoma"/>
            <family val="2"/>
          </rPr>
          <t>Diana Alessandra Blanco Bernal:</t>
        </r>
        <r>
          <rPr>
            <sz val="9"/>
            <color indexed="81"/>
            <rFont val="Tahoma"/>
            <family val="2"/>
          </rPr>
          <t xml:space="preserve">
Se requiere aplicar formula matematica, esto con el fin de visualizar los resultados obtenidos frente a la meta establecida.
</t>
        </r>
      </text>
    </comment>
    <comment ref="U70" authorId="0" shapeId="0">
      <text>
        <r>
          <rPr>
            <b/>
            <sz val="9"/>
            <color indexed="81"/>
            <rFont val="Tahoma"/>
            <family val="2"/>
          </rPr>
          <t>Diana Alessandra Blanco Bernal:</t>
        </r>
        <r>
          <rPr>
            <sz val="9"/>
            <color indexed="81"/>
            <rFont val="Tahoma"/>
            <family val="2"/>
          </rPr>
          <t xml:space="preserve">
Allegar requerimiento y justificación del incumplimiento de solicitud de servicio.</t>
        </r>
      </text>
    </comment>
    <comment ref="W70" authorId="0" shapeId="0">
      <text>
        <r>
          <rPr>
            <b/>
            <sz val="9"/>
            <color indexed="81"/>
            <rFont val="Tahoma"/>
            <family val="2"/>
          </rPr>
          <t>Diana Alessandra Blanco Bernal:</t>
        </r>
        <r>
          <rPr>
            <sz val="9"/>
            <color indexed="81"/>
            <rFont val="Tahoma"/>
            <family val="2"/>
          </rPr>
          <t xml:space="preserve">
Allegar requerimiento y justificación del incumplimiento de solicitud de servicio.</t>
        </r>
      </text>
    </comment>
    <comment ref="AA70" authorId="0" shapeId="0">
      <text>
        <r>
          <rPr>
            <b/>
            <sz val="9"/>
            <color indexed="81"/>
            <rFont val="Tahoma"/>
            <family val="2"/>
          </rPr>
          <t>Diana Alessandra Blanco Bernal:</t>
        </r>
        <r>
          <rPr>
            <sz val="9"/>
            <color indexed="81"/>
            <rFont val="Tahoma"/>
            <family val="2"/>
          </rPr>
          <t xml:space="preserve">
Efectuar la aplicación de la formula matematica y allegar registros pertinentes.</t>
        </r>
      </text>
    </comment>
    <comment ref="AC70" authorId="0" shapeId="0">
      <text>
        <r>
          <rPr>
            <b/>
            <sz val="9"/>
            <color indexed="81"/>
            <rFont val="Tahoma"/>
            <family val="2"/>
          </rPr>
          <t>Diana Alessandra Blanco Bernal:</t>
        </r>
        <r>
          <rPr>
            <sz val="9"/>
            <color indexed="81"/>
            <rFont val="Tahoma"/>
            <family val="2"/>
          </rPr>
          <t xml:space="preserve">
Efectuar la aplicación de la formula matematica y allegar registros pertinentes.</t>
        </r>
      </text>
    </comment>
    <comment ref="AE70" authorId="0" shapeId="0">
      <text>
        <r>
          <rPr>
            <b/>
            <sz val="9"/>
            <color indexed="81"/>
            <rFont val="Tahoma"/>
            <family val="2"/>
          </rPr>
          <t>Diana Alessandra Blanco Bernal:</t>
        </r>
        <r>
          <rPr>
            <sz val="9"/>
            <color indexed="81"/>
            <rFont val="Tahoma"/>
            <family val="2"/>
          </rPr>
          <t xml:space="preserve">
Efectuar la aplicación de la formula matematica y allegar registros pertinentes.</t>
        </r>
      </text>
    </comment>
    <comment ref="AK70" authorId="0" shapeId="0">
      <text>
        <r>
          <rPr>
            <b/>
            <sz val="9"/>
            <color indexed="81"/>
            <rFont val="Tahoma"/>
            <family val="2"/>
          </rPr>
          <t>Diana Alessandra Blanco Bernal:</t>
        </r>
        <r>
          <rPr>
            <sz val="9"/>
            <color indexed="81"/>
            <rFont val="Tahoma"/>
            <family val="2"/>
          </rPr>
          <t xml:space="preserve">
Se requiere allegar requerimientos mesa de ayuda.</t>
        </r>
      </text>
    </comment>
    <comment ref="P71" authorId="0" shapeId="0">
      <text>
        <r>
          <rPr>
            <b/>
            <sz val="9"/>
            <color indexed="81"/>
            <rFont val="Tahoma"/>
            <family val="2"/>
          </rPr>
          <t>Diana Alessandra Blanco Bernal:</t>
        </r>
        <r>
          <rPr>
            <sz val="9"/>
            <color indexed="81"/>
            <rFont val="Tahoma"/>
            <family val="2"/>
          </rPr>
          <t xml:space="preserve">
Conforme a la meta establecida, se requeire se allegue la información acerca de los tres (3) modulos contingentes, con el fin de tomar acciones de mejora continua.
</t>
        </r>
      </text>
    </comment>
    <comment ref="R71" authorId="0" shapeId="0">
      <text>
        <r>
          <rPr>
            <b/>
            <sz val="9"/>
            <color indexed="81"/>
            <rFont val="Tahoma"/>
            <family val="2"/>
          </rPr>
          <t>Diana Alessandra Blanco Bernal:</t>
        </r>
        <r>
          <rPr>
            <sz val="9"/>
            <color indexed="81"/>
            <rFont val="Tahoma"/>
            <family val="2"/>
          </rPr>
          <t xml:space="preserve">
Conforme a la meta establecida, se requeire se allegue la información acerca de los tres (3) modulos contingentes, con el fin de tomar acciones de mejora continua.
</t>
        </r>
      </text>
    </comment>
    <comment ref="T71" authorId="0" shapeId="0">
      <text>
        <r>
          <rPr>
            <b/>
            <sz val="9"/>
            <color indexed="81"/>
            <rFont val="Tahoma"/>
            <family val="2"/>
          </rPr>
          <t>Diana Alessandra Blanco Bernal:</t>
        </r>
        <r>
          <rPr>
            <sz val="9"/>
            <color indexed="81"/>
            <rFont val="Tahoma"/>
            <family val="2"/>
          </rPr>
          <t xml:space="preserve">
Conforme a la meta establecida, se requeire se allegue la información acerca de los tres (3) modulos contingentes, con el fin de tomar acciones de mejora continua.
</t>
        </r>
      </text>
    </comment>
    <comment ref="AA71" authorId="0" shapeId="0">
      <text>
        <r>
          <rPr>
            <b/>
            <sz val="9"/>
            <color indexed="81"/>
            <rFont val="Tahoma"/>
            <family val="2"/>
          </rPr>
          <t>Diana Alessandra Blanco Bernal:</t>
        </r>
        <r>
          <rPr>
            <sz val="9"/>
            <color indexed="81"/>
            <rFont val="Tahoma"/>
            <family val="2"/>
          </rPr>
          <t xml:space="preserve">
Efectuar la aplicación de la formula matematica y allegar registros pertinentes.</t>
        </r>
      </text>
    </comment>
    <comment ref="AC71" authorId="0" shapeId="0">
      <text>
        <r>
          <rPr>
            <b/>
            <sz val="9"/>
            <color indexed="81"/>
            <rFont val="Tahoma"/>
            <family val="2"/>
          </rPr>
          <t>Diana Alessandra Blanco Bernal:</t>
        </r>
        <r>
          <rPr>
            <sz val="9"/>
            <color indexed="81"/>
            <rFont val="Tahoma"/>
            <family val="2"/>
          </rPr>
          <t xml:space="preserve">
Efectuar la aplicación de la formula matematica y allegar registros pertinentes.</t>
        </r>
      </text>
    </comment>
    <comment ref="AE71" authorId="0" shapeId="0">
      <text>
        <r>
          <rPr>
            <b/>
            <sz val="9"/>
            <color indexed="81"/>
            <rFont val="Tahoma"/>
            <family val="2"/>
          </rPr>
          <t>Diana Alessandra Blanco Bernal:</t>
        </r>
        <r>
          <rPr>
            <sz val="9"/>
            <color indexed="81"/>
            <rFont val="Tahoma"/>
            <family val="2"/>
          </rPr>
          <t xml:space="preserve">
Efectuar la aplicación de la formula matematica y allegar registros pertinentes.</t>
        </r>
      </text>
    </comment>
    <comment ref="U72" authorId="0" shapeId="0">
      <text>
        <r>
          <rPr>
            <b/>
            <sz val="9"/>
            <color indexed="81"/>
            <rFont val="Tahoma"/>
            <family val="2"/>
          </rPr>
          <t>Diana Alessandra Blanco Bernal:</t>
        </r>
        <r>
          <rPr>
            <sz val="9"/>
            <color indexed="81"/>
            <rFont val="Tahoma"/>
            <family val="2"/>
          </rPr>
          <t xml:space="preserve">
Información tomada de matriz de cumplimiento.
</t>
        </r>
      </text>
    </comment>
    <comment ref="W72" authorId="0" shapeId="0">
      <text>
        <r>
          <rPr>
            <b/>
            <sz val="9"/>
            <color indexed="81"/>
            <rFont val="Tahoma"/>
            <family val="2"/>
          </rPr>
          <t>Diana Alessandra Blanco Bernal:</t>
        </r>
        <r>
          <rPr>
            <sz val="9"/>
            <color indexed="81"/>
            <rFont val="Tahoma"/>
            <family val="2"/>
          </rPr>
          <t xml:space="preserve">
Información tomada de matriz de cumplimiento.
</t>
        </r>
      </text>
    </comment>
    <comment ref="Y72" authorId="0" shapeId="0">
      <text>
        <r>
          <rPr>
            <b/>
            <sz val="9"/>
            <color indexed="81"/>
            <rFont val="Tahoma"/>
            <family val="2"/>
          </rPr>
          <t>Diana Alessandra Blanco Bernal:</t>
        </r>
        <r>
          <rPr>
            <sz val="9"/>
            <color indexed="81"/>
            <rFont val="Tahoma"/>
            <family val="2"/>
          </rPr>
          <t xml:space="preserve">
Información tomada de matriz de cumplimiento.
</t>
        </r>
      </text>
    </comment>
    <comment ref="AA72" authorId="0" shapeId="0">
      <text>
        <r>
          <rPr>
            <b/>
            <sz val="9"/>
            <color indexed="81"/>
            <rFont val="Tahoma"/>
            <family val="2"/>
          </rPr>
          <t>Diana Alessandra Blanco Bernal:</t>
        </r>
        <r>
          <rPr>
            <sz val="9"/>
            <color indexed="81"/>
            <rFont val="Tahoma"/>
            <family val="2"/>
          </rPr>
          <t xml:space="preserve">
Información tomada de matriz de cumplimiento.
</t>
        </r>
      </text>
    </comment>
    <comment ref="AC72" authorId="0" shapeId="0">
      <text>
        <r>
          <rPr>
            <b/>
            <sz val="9"/>
            <color indexed="81"/>
            <rFont val="Tahoma"/>
            <family val="2"/>
          </rPr>
          <t>Diana Alessandra Blanco Bernal:</t>
        </r>
        <r>
          <rPr>
            <sz val="9"/>
            <color indexed="81"/>
            <rFont val="Tahoma"/>
            <family val="2"/>
          </rPr>
          <t xml:space="preserve">
Información tomada de matriz de cumplimiento.
</t>
        </r>
      </text>
    </comment>
    <comment ref="AE72" authorId="0" shapeId="0">
      <text>
        <r>
          <rPr>
            <b/>
            <sz val="9"/>
            <color indexed="81"/>
            <rFont val="Tahoma"/>
            <family val="2"/>
          </rPr>
          <t>Diana Alessandra Blanco Bernal:</t>
        </r>
        <r>
          <rPr>
            <sz val="9"/>
            <color indexed="81"/>
            <rFont val="Tahoma"/>
            <family val="2"/>
          </rPr>
          <t xml:space="preserve">
Información tomada de matriz de cumplimiento.
</t>
        </r>
      </text>
    </comment>
    <comment ref="AG72" authorId="0" shapeId="0">
      <text>
        <r>
          <rPr>
            <b/>
            <sz val="9"/>
            <color indexed="81"/>
            <rFont val="Tahoma"/>
            <family val="2"/>
          </rPr>
          <t>Diana Alessandra Blanco Bernal:</t>
        </r>
        <r>
          <rPr>
            <sz val="9"/>
            <color indexed="81"/>
            <rFont val="Tahoma"/>
            <family val="2"/>
          </rPr>
          <t xml:space="preserve">
Información tomada de matriz de cumplimiento.
</t>
        </r>
      </text>
    </comment>
    <comment ref="AI72" authorId="0" shapeId="0">
      <text>
        <r>
          <rPr>
            <b/>
            <sz val="9"/>
            <color indexed="81"/>
            <rFont val="Tahoma"/>
            <family val="2"/>
          </rPr>
          <t>Diana Alessandra Blanco Bernal:</t>
        </r>
        <r>
          <rPr>
            <sz val="9"/>
            <color indexed="81"/>
            <rFont val="Tahoma"/>
            <family val="2"/>
          </rPr>
          <t xml:space="preserve">
Información tomada de matriz de cumplimiento.
</t>
        </r>
      </text>
    </comment>
    <comment ref="AK72" authorId="0" shapeId="0">
      <text>
        <r>
          <rPr>
            <b/>
            <sz val="9"/>
            <color indexed="81"/>
            <rFont val="Tahoma"/>
            <family val="2"/>
          </rPr>
          <t>Diana Alessandra Blanco Bernal:</t>
        </r>
        <r>
          <rPr>
            <sz val="9"/>
            <color indexed="81"/>
            <rFont val="Tahoma"/>
            <family val="2"/>
          </rPr>
          <t xml:space="preserve">
Información tomada de matriz de cumplimiento.
</t>
        </r>
      </text>
    </comment>
    <comment ref="O73" authorId="0" shapeId="0">
      <text>
        <r>
          <rPr>
            <b/>
            <sz val="9"/>
            <color indexed="81"/>
            <rFont val="Tahoma"/>
            <family val="2"/>
          </rPr>
          <t>Diana Alessandra Blanco Bernal:</t>
        </r>
        <r>
          <rPr>
            <sz val="9"/>
            <color indexed="81"/>
            <rFont val="Tahoma"/>
            <family val="2"/>
          </rPr>
          <t xml:space="preserve">
Información tomada del programa de mantenimiento de plataforma tecnologica, consultada el día 25 de abril de 2018, 3:40 p.m.</t>
        </r>
      </text>
    </comment>
    <comment ref="Q73" authorId="0" shapeId="0">
      <text>
        <r>
          <rPr>
            <b/>
            <sz val="9"/>
            <color indexed="81"/>
            <rFont val="Tahoma"/>
            <family val="2"/>
          </rPr>
          <t>Diana Alessandra Blanco Bernal:</t>
        </r>
        <r>
          <rPr>
            <sz val="9"/>
            <color indexed="81"/>
            <rFont val="Tahoma"/>
            <family val="2"/>
          </rPr>
          <t xml:space="preserve">
Información tomada del programa de mantenimiento de plataforma tecnologica, consultada el día 25 de abril de 2018, 3:40 p.m.</t>
        </r>
      </text>
    </comment>
    <comment ref="S73" authorId="0" shapeId="0">
      <text>
        <r>
          <rPr>
            <b/>
            <sz val="9"/>
            <color indexed="81"/>
            <rFont val="Tahoma"/>
            <family val="2"/>
          </rPr>
          <t>Diana Alessandra Blanco Bernal:</t>
        </r>
        <r>
          <rPr>
            <sz val="9"/>
            <color indexed="81"/>
            <rFont val="Tahoma"/>
            <family val="2"/>
          </rPr>
          <t xml:space="preserve">
Información tomada del programa de mantenimiento de plataforma tecnologica, consultada el día 25 de abril de 2018, 3:40 p.m.</t>
        </r>
      </text>
    </comment>
    <comment ref="U73" authorId="0" shapeId="0">
      <text>
        <r>
          <rPr>
            <b/>
            <sz val="9"/>
            <color indexed="81"/>
            <rFont val="Tahoma"/>
            <family val="2"/>
          </rPr>
          <t>Diana Alessandra Blanco Bernal:</t>
        </r>
        <r>
          <rPr>
            <sz val="9"/>
            <color indexed="81"/>
            <rFont val="Tahoma"/>
            <family val="2"/>
          </rPr>
          <t xml:space="preserve">
Información tomada del programa de mantenimiento de plataforma tecnologica, consultada el día 25 de abril de 2018, 3:40 p.m.</t>
        </r>
      </text>
    </comment>
    <comment ref="W73" authorId="0" shapeId="0">
      <text>
        <r>
          <rPr>
            <b/>
            <sz val="9"/>
            <color indexed="81"/>
            <rFont val="Tahoma"/>
            <family val="2"/>
          </rPr>
          <t>Diana Alessandra Blanco Bernal:</t>
        </r>
        <r>
          <rPr>
            <sz val="9"/>
            <color indexed="81"/>
            <rFont val="Tahoma"/>
            <family val="2"/>
          </rPr>
          <t xml:space="preserve">
Información tomada del programa de mantenimiento de plataforma tecnologica, consultada el día 25 de abril de 2018, 3:40 p.m.</t>
        </r>
      </text>
    </comment>
    <comment ref="Y73" authorId="0" shapeId="0">
      <text>
        <r>
          <rPr>
            <b/>
            <sz val="9"/>
            <color indexed="81"/>
            <rFont val="Tahoma"/>
            <family val="2"/>
          </rPr>
          <t>Diana Alessandra Blanco Bernal:</t>
        </r>
        <r>
          <rPr>
            <sz val="9"/>
            <color indexed="81"/>
            <rFont val="Tahoma"/>
            <family val="2"/>
          </rPr>
          <t xml:space="preserve">
Información tomada del programa de mantenimiento de plataforma tecnologica, consultada el día 25 de abril de 2018, 3:40 p.m.</t>
        </r>
      </text>
    </comment>
    <comment ref="AA73" authorId="0" shapeId="0">
      <text>
        <r>
          <rPr>
            <b/>
            <sz val="9"/>
            <color indexed="81"/>
            <rFont val="Tahoma"/>
            <family val="2"/>
          </rPr>
          <t>Diana Alessandra Blanco Bernal:</t>
        </r>
        <r>
          <rPr>
            <sz val="9"/>
            <color indexed="81"/>
            <rFont val="Tahoma"/>
            <family val="2"/>
          </rPr>
          <t xml:space="preserve">
Información tomada del programa de mantenimiento de plataforma tecnologica, consultada el día 25 de abril de 2018, 3:40 p.m.</t>
        </r>
      </text>
    </comment>
    <comment ref="AC73" authorId="0" shapeId="0">
      <text>
        <r>
          <rPr>
            <b/>
            <sz val="9"/>
            <color indexed="81"/>
            <rFont val="Tahoma"/>
            <family val="2"/>
          </rPr>
          <t>Diana Alessandra Blanco Bernal:</t>
        </r>
        <r>
          <rPr>
            <sz val="9"/>
            <color indexed="81"/>
            <rFont val="Tahoma"/>
            <family val="2"/>
          </rPr>
          <t xml:space="preserve">
Información tomada del programa de mantenimiento de plataforma tecnologica, consultada el día 25 de abril de 2018, 3:40 p.m.</t>
        </r>
      </text>
    </comment>
    <comment ref="AE73" authorId="0" shapeId="0">
      <text>
        <r>
          <rPr>
            <b/>
            <sz val="9"/>
            <color indexed="81"/>
            <rFont val="Tahoma"/>
            <family val="2"/>
          </rPr>
          <t>Diana Alessandra Blanco Bernal:</t>
        </r>
        <r>
          <rPr>
            <sz val="9"/>
            <color indexed="81"/>
            <rFont val="Tahoma"/>
            <family val="2"/>
          </rPr>
          <t xml:space="preserve">
Información tomada del programa de mantenimiento de plataforma tecnologica, consultada el día 25 de abril de 2018, 3:40 p.m.</t>
        </r>
      </text>
    </comment>
    <comment ref="AG73" authorId="0" shapeId="0">
      <text>
        <r>
          <rPr>
            <b/>
            <sz val="9"/>
            <color indexed="81"/>
            <rFont val="Tahoma"/>
            <family val="2"/>
          </rPr>
          <t>Diana Alessandra Blanco Bernal:</t>
        </r>
        <r>
          <rPr>
            <sz val="9"/>
            <color indexed="81"/>
            <rFont val="Tahoma"/>
            <family val="2"/>
          </rPr>
          <t xml:space="preserve">
Información tomada del programa de mantenimiento de plataforma tecnologica, consultada el día 25 de abril de 2018, 3:40 p.m.</t>
        </r>
      </text>
    </comment>
    <comment ref="AI73" authorId="0" shapeId="0">
      <text>
        <r>
          <rPr>
            <b/>
            <sz val="9"/>
            <color indexed="81"/>
            <rFont val="Tahoma"/>
            <family val="2"/>
          </rPr>
          <t>Diana Alessandra Blanco Bernal:</t>
        </r>
        <r>
          <rPr>
            <sz val="9"/>
            <color indexed="81"/>
            <rFont val="Tahoma"/>
            <family val="2"/>
          </rPr>
          <t xml:space="preserve">
Información tomada del programa de mantenimiento de plataforma tecnologica, consultada el día 25 de abril de 2018, 3:40 p.m.</t>
        </r>
      </text>
    </comment>
    <comment ref="AK73" authorId="0" shapeId="0">
      <text>
        <r>
          <rPr>
            <b/>
            <sz val="9"/>
            <color indexed="81"/>
            <rFont val="Tahoma"/>
            <family val="2"/>
          </rPr>
          <t>Diana Alessandra Blanco Bernal:</t>
        </r>
        <r>
          <rPr>
            <sz val="9"/>
            <color indexed="81"/>
            <rFont val="Tahoma"/>
            <family val="2"/>
          </rPr>
          <t xml:space="preserve">
Información tomada del programa de mantenimiento de plataforma tecnologica, consultada el día 25 de abril de 2018, 3:40 p.m.</t>
        </r>
      </text>
    </comment>
    <comment ref="AL73" authorId="0" shapeId="0">
      <text>
        <r>
          <rPr>
            <b/>
            <sz val="9"/>
            <color indexed="81"/>
            <rFont val="Tahoma"/>
            <family val="2"/>
          </rPr>
          <t>Diana Alessandra Blanco Bernal:</t>
        </r>
        <r>
          <rPr>
            <sz val="9"/>
            <color indexed="81"/>
            <rFont val="Tahoma"/>
            <family val="2"/>
          </rPr>
          <t xml:space="preserve">
No se logra la meta planteada debido a que el proceso se migro a PM, por tanto se suspendieron labores de mantenimiento.</t>
        </r>
      </text>
    </comment>
    <comment ref="P78" authorId="0" shapeId="0">
      <text>
        <r>
          <rPr>
            <b/>
            <sz val="9"/>
            <color indexed="81"/>
            <rFont val="Tahoma"/>
            <family val="2"/>
          </rPr>
          <t>Diana Alessandra Blanco Bernal:</t>
        </r>
        <r>
          <rPr>
            <sz val="9"/>
            <color indexed="81"/>
            <rFont val="Tahoma"/>
            <family val="2"/>
          </rPr>
          <t xml:space="preserve">
Se requiere reportar la información referente que soporta el indicador.</t>
        </r>
      </text>
    </comment>
    <comment ref="R78" authorId="0" shapeId="0">
      <text>
        <r>
          <rPr>
            <b/>
            <sz val="9"/>
            <color indexed="81"/>
            <rFont val="Tahoma"/>
            <family val="2"/>
          </rPr>
          <t>Diana Alessandra Blanco Bernal:</t>
        </r>
        <r>
          <rPr>
            <sz val="9"/>
            <color indexed="81"/>
            <rFont val="Tahoma"/>
            <family val="2"/>
          </rPr>
          <t xml:space="preserve">
Se requiere reportar la información referente que soporta el indicador.</t>
        </r>
      </text>
    </comment>
    <comment ref="T78" authorId="0" shapeId="0">
      <text>
        <r>
          <rPr>
            <b/>
            <sz val="9"/>
            <color indexed="81"/>
            <rFont val="Tahoma"/>
            <family val="2"/>
          </rPr>
          <t>Diana Alessandra Blanco Bernal:</t>
        </r>
        <r>
          <rPr>
            <sz val="9"/>
            <color indexed="81"/>
            <rFont val="Tahoma"/>
            <family val="2"/>
          </rPr>
          <t xml:space="preserve">
Se requiere reportar la información referente que soporta el indicador.</t>
        </r>
      </text>
    </comment>
    <comment ref="P79" authorId="0" shapeId="0">
      <text>
        <r>
          <rPr>
            <b/>
            <sz val="9"/>
            <color indexed="81"/>
            <rFont val="Tahoma"/>
            <family val="2"/>
          </rPr>
          <t>Diana Alessandra Blanco Bernal:</t>
        </r>
        <r>
          <rPr>
            <sz val="9"/>
            <color indexed="81"/>
            <rFont val="Tahoma"/>
            <family val="2"/>
          </rPr>
          <t xml:space="preserve">
Se requiere reportar la información referente que soporta el indicador.</t>
        </r>
      </text>
    </comment>
    <comment ref="R79" authorId="0" shapeId="0">
      <text>
        <r>
          <rPr>
            <b/>
            <sz val="9"/>
            <color indexed="81"/>
            <rFont val="Tahoma"/>
            <family val="2"/>
          </rPr>
          <t>Diana Alessandra Blanco Bernal:</t>
        </r>
        <r>
          <rPr>
            <sz val="9"/>
            <color indexed="81"/>
            <rFont val="Tahoma"/>
            <family val="2"/>
          </rPr>
          <t xml:space="preserve">
Se requiere reportar la información referente que soporta el indicador.</t>
        </r>
      </text>
    </comment>
    <comment ref="T79" authorId="0" shapeId="0">
      <text>
        <r>
          <rPr>
            <b/>
            <sz val="9"/>
            <color indexed="81"/>
            <rFont val="Tahoma"/>
            <family val="2"/>
          </rPr>
          <t>Diana Alessandra Blanco Bernal:</t>
        </r>
        <r>
          <rPr>
            <sz val="9"/>
            <color indexed="81"/>
            <rFont val="Tahoma"/>
            <family val="2"/>
          </rPr>
          <t xml:space="preserve">
Se requiere reportar la información referente que soporta el indicador.</t>
        </r>
      </text>
    </comment>
    <comment ref="H84" authorId="5" shapeId="0">
      <text>
        <r>
          <rPr>
            <sz val="11"/>
            <color rgb="FF000000"/>
            <rFont val="Calibri"/>
            <family val="2"/>
          </rPr>
          <t>Propuesta para todos los ambientales Controlar el usuo del recurso empleada para la producciòn o fabricaciòn</t>
        </r>
      </text>
    </comment>
    <comment ref="Y84" authorId="6" shapeId="0">
      <text>
        <r>
          <rPr>
            <b/>
            <sz val="9"/>
            <color indexed="81"/>
            <rFont val="Tahoma"/>
            <family val="2"/>
          </rPr>
          <t>Yenny Maryori Ortiz Ramos:</t>
        </r>
        <r>
          <rPr>
            <sz val="9"/>
            <color indexed="81"/>
            <rFont val="Tahoma"/>
            <family val="2"/>
          </rPr>
          <t xml:space="preserve">
Los datos de soporte para el indicador se remitira por el Ingeniero Juan Pablo Rodriguez, cada periodo de la vigencia.
</t>
        </r>
      </text>
    </comment>
    <comment ref="AA84" authorId="6" shapeId="0">
      <text>
        <r>
          <rPr>
            <b/>
            <sz val="9"/>
            <color indexed="81"/>
            <rFont val="Tahoma"/>
            <family val="2"/>
          </rPr>
          <t>Yenny Maryori Ortiz Ramos:</t>
        </r>
        <r>
          <rPr>
            <sz val="9"/>
            <color indexed="81"/>
            <rFont val="Tahoma"/>
            <family val="2"/>
          </rPr>
          <t xml:space="preserve">
Los datos de soporte para el indicador se remitira por el Ingeniero Juan Pablo Rodriguez, cada periodo de la vigencia.
</t>
        </r>
      </text>
    </comment>
    <comment ref="AB84" authorId="0" shapeId="0">
      <text>
        <r>
          <rPr>
            <b/>
            <sz val="9"/>
            <color indexed="81"/>
            <rFont val="Tahoma"/>
            <family val="2"/>
          </rPr>
          <t>Diana Alessandra Blanco Bernal:</t>
        </r>
        <r>
          <rPr>
            <sz val="9"/>
            <color indexed="81"/>
            <rFont val="Tahoma"/>
            <family val="2"/>
          </rPr>
          <t xml:space="preserve">
Se requieren los datos del año 1, esto con el fin de efectuar las validaciones pertinentes.</t>
        </r>
      </text>
    </comment>
    <comment ref="AC84" authorId="6" shapeId="0">
      <text>
        <r>
          <rPr>
            <b/>
            <sz val="9"/>
            <color indexed="81"/>
            <rFont val="Tahoma"/>
            <family val="2"/>
          </rPr>
          <t>Yenny Maryori Ortiz Ramos:</t>
        </r>
        <r>
          <rPr>
            <sz val="9"/>
            <color indexed="81"/>
            <rFont val="Tahoma"/>
            <family val="2"/>
          </rPr>
          <t xml:space="preserve">
Los datos de soporte para el indicador se remitira por el Ingeniero Juan Pablo Rodriguez, cada periodo de la vigencia.
</t>
        </r>
      </text>
    </comment>
    <comment ref="AD84" authorId="0" shapeId="0">
      <text>
        <r>
          <rPr>
            <b/>
            <sz val="9"/>
            <color indexed="81"/>
            <rFont val="Tahoma"/>
            <family val="2"/>
          </rPr>
          <t>Diana Alessandra Blanco Bernal:</t>
        </r>
        <r>
          <rPr>
            <sz val="9"/>
            <color indexed="81"/>
            <rFont val="Tahoma"/>
            <family val="2"/>
          </rPr>
          <t xml:space="preserve">
Se requieren los datos del año 1, esto con el fin de efectuar las validaciones pertinentes.</t>
        </r>
      </text>
    </comment>
    <comment ref="AE84" authorId="6" shapeId="0">
      <text>
        <r>
          <rPr>
            <b/>
            <sz val="9"/>
            <color indexed="81"/>
            <rFont val="Tahoma"/>
            <family val="2"/>
          </rPr>
          <t>Yenny Maryori Ortiz Ramos:</t>
        </r>
        <r>
          <rPr>
            <sz val="9"/>
            <color indexed="81"/>
            <rFont val="Tahoma"/>
            <family val="2"/>
          </rPr>
          <t xml:space="preserve">
Los datos de soporte para el indicador se remitira por el Ingeniero Juan Pablo Rodriguez, cada periodo de la vigencia.
</t>
        </r>
      </text>
    </comment>
    <comment ref="AF84" authorId="0" shapeId="0">
      <text>
        <r>
          <rPr>
            <b/>
            <sz val="9"/>
            <color indexed="81"/>
            <rFont val="Tahoma"/>
            <family val="2"/>
          </rPr>
          <t>Diana Alessandra Blanco Bernal:</t>
        </r>
        <r>
          <rPr>
            <sz val="9"/>
            <color indexed="81"/>
            <rFont val="Tahoma"/>
            <family val="2"/>
          </rPr>
          <t xml:space="preserve">
Se requieren los datos del año 1, esto con el fin de efectuar las validaciones pertinentes.</t>
        </r>
      </text>
    </comment>
    <comment ref="AO84" authorId="0" shapeId="0">
      <text>
        <r>
          <rPr>
            <b/>
            <sz val="9"/>
            <color indexed="81"/>
            <rFont val="Tahoma"/>
            <family val="2"/>
          </rPr>
          <t>Diana Alessandra Blanco Bernal:</t>
        </r>
        <r>
          <rPr>
            <sz val="9"/>
            <color indexed="81"/>
            <rFont val="Tahoma"/>
            <family val="2"/>
          </rPr>
          <t xml:space="preserve">
Se requiere proyectar acción correctiva con el fin de generar la mejora continua para la gestión ambiental.</t>
        </r>
      </text>
    </comment>
    <comment ref="AM85" authorId="0" shapeId="0">
      <text>
        <r>
          <rPr>
            <b/>
            <sz val="9"/>
            <color indexed="81"/>
            <rFont val="Tahoma"/>
            <family val="2"/>
          </rPr>
          <t>Diana Alessandra Blanco Bernal:</t>
        </r>
        <r>
          <rPr>
            <sz val="9"/>
            <color indexed="81"/>
            <rFont val="Tahoma"/>
            <family val="2"/>
          </rPr>
          <t xml:space="preserve">
Se requiere información complementaria del año 1 con relación a la linea.
</t>
        </r>
      </text>
    </comment>
    <comment ref="AO85" authorId="0" shapeId="0">
      <text>
        <r>
          <rPr>
            <b/>
            <sz val="9"/>
            <color indexed="81"/>
            <rFont val="Tahoma"/>
            <family val="2"/>
          </rPr>
          <t>Diana Alessandra Blanco Bernal:</t>
        </r>
        <r>
          <rPr>
            <sz val="9"/>
            <color indexed="81"/>
            <rFont val="Tahoma"/>
            <family val="2"/>
          </rPr>
          <t xml:space="preserve">
Se requiere proyectar acción correctiva con el fin de generar la mejora continua para la gestión ambiental.</t>
        </r>
      </text>
    </comment>
    <comment ref="H86" authorId="0" shapeId="0">
      <text>
        <r>
          <rPr>
            <b/>
            <sz val="9"/>
            <color indexed="81"/>
            <rFont val="Tahoma"/>
            <family val="2"/>
          </rPr>
          <t>Diana Alessandra Blanco Bernal:</t>
        </r>
        <r>
          <rPr>
            <sz val="9"/>
            <color indexed="81"/>
            <rFont val="Tahoma"/>
            <family val="2"/>
          </rPr>
          <t xml:space="preserve">
Se recomienda ajustar el objetivo del indicador, teniendo en cuenta que la meta se direcciona a incrementar la generación de residuos aprovechables.
</t>
        </r>
      </text>
    </comment>
    <comment ref="AD87" authorId="0" shapeId="0">
      <text>
        <r>
          <rPr>
            <b/>
            <sz val="9"/>
            <color indexed="81"/>
            <rFont val="Tahoma"/>
            <family val="2"/>
          </rPr>
          <t>Diana Alessandra Blanco Bernal:</t>
        </r>
        <r>
          <rPr>
            <sz val="9"/>
            <color indexed="81"/>
            <rFont val="Tahoma"/>
            <family val="2"/>
          </rPr>
          <t xml:space="preserve">
Mayor producición, más placas, más solidos contaminados en la sala de envasado, por tanto se obtienen los presentes resultados.</t>
        </r>
      </text>
    </comment>
    <comment ref="AM88" authorId="7" shapeId="0">
      <text>
        <r>
          <rPr>
            <b/>
            <sz val="12"/>
            <color indexed="81"/>
            <rFont val="Tahoma"/>
            <family val="2"/>
          </rPr>
          <t>Diana Gised Lopez Prada:</t>
        </r>
        <r>
          <rPr>
            <sz val="12"/>
            <color indexed="81"/>
            <rFont val="Tahoma"/>
            <family val="2"/>
          </rPr>
          <t xml:space="preserve">
En el año 2017 la Oficina de Control interno no realizo ninguna contratación que afectara el presupuesto. </t>
        </r>
      </text>
    </comment>
    <comment ref="S89" authorId="0" shapeId="0">
      <text>
        <r>
          <rPr>
            <b/>
            <sz val="9"/>
            <color indexed="81"/>
            <rFont val="Tahoma"/>
            <family val="2"/>
          </rPr>
          <t>Diana Alessandra Blanco Bernal:</t>
        </r>
        <r>
          <rPr>
            <sz val="9"/>
            <color indexed="81"/>
            <rFont val="Tahoma"/>
            <family val="2"/>
          </rPr>
          <t xml:space="preserve">
Aplicar formula matematica.</t>
        </r>
      </text>
    </comment>
    <comment ref="T89" authorId="0" shapeId="0">
      <text>
        <r>
          <rPr>
            <b/>
            <sz val="9"/>
            <color indexed="81"/>
            <rFont val="Tahoma"/>
            <family val="2"/>
          </rPr>
          <t>Diana Alessandra Blanco Bernal:</t>
        </r>
        <r>
          <rPr>
            <sz val="9"/>
            <color indexed="81"/>
            <rFont val="Tahoma"/>
            <family val="2"/>
          </rPr>
          <t xml:space="preserve">
Se requiere plan de auditorias vigente año 2018.
</t>
        </r>
      </text>
    </comment>
    <comment ref="AA89" authorId="0" shapeId="0">
      <text>
        <r>
          <rPr>
            <b/>
            <sz val="9"/>
            <color indexed="81"/>
            <rFont val="Tahoma"/>
            <family val="2"/>
          </rPr>
          <t>Diana Alessandra Blanco Bernal:</t>
        </r>
        <r>
          <rPr>
            <sz val="9"/>
            <color indexed="81"/>
            <rFont val="Tahoma"/>
            <family val="2"/>
          </rPr>
          <t xml:space="preserve">
Se requiere aplicar la fórmula matemática planteada para el indicador Nivel de Cumplimiento de las Auditorías Programadas, lo anterior teniendo en cuenta que se evidencia que se reportan resultados neto y se requiere los datos pertinentes. Adicional se requiere allegar programa de auditorías, el cual se ha solicitado en varias oportunidades, esto con el fin de generar los análisis del caso y reportar las mediciones adecuadas para dicho indicador de gestión.
</t>
        </r>
      </text>
    </comment>
    <comment ref="AB89" authorId="0" shapeId="0">
      <text>
        <r>
          <rPr>
            <b/>
            <sz val="9"/>
            <color indexed="81"/>
            <rFont val="Tahoma"/>
            <family val="2"/>
          </rPr>
          <t>Diana Alessandra Blanco Bernal:</t>
        </r>
        <r>
          <rPr>
            <sz val="9"/>
            <color indexed="81"/>
            <rFont val="Tahoma"/>
            <family val="2"/>
          </rPr>
          <t xml:space="preserve">
Se requiere diligenciar el campo análisis de resultados, generando un entregable en el cual se visualice la gestión, los resultados obtenidos y posibles riesgos que estén inherentes a dicha gestión de auditorías realizadas frente a las programadas.</t>
        </r>
      </text>
    </comment>
    <comment ref="AC89" authorId="0" shapeId="0">
      <text>
        <r>
          <rPr>
            <b/>
            <sz val="9"/>
            <color indexed="81"/>
            <rFont val="Tahoma"/>
            <family val="2"/>
          </rPr>
          <t>Diana Alessandra Blanco Bernal:</t>
        </r>
        <r>
          <rPr>
            <sz val="9"/>
            <color indexed="81"/>
            <rFont val="Tahoma"/>
            <family val="2"/>
          </rPr>
          <t xml:space="preserve">
Se requiere aplicar la fórmula matemática planteada para el indicador Nivel de Cumplimiento de las Auditorías Programadas, lo anterior teniendo en cuenta que se evidencia que se reportan resultados neto y se requiere los datos pertinentes. Adicional se requiere allegar programa de auditorías, el cual se ha solicitado en varias oportunidades, esto con el fin de generar los análisis del caso y reportar las mediciones adecuadas para dicho indicador de gestión.
</t>
        </r>
      </text>
    </comment>
    <comment ref="AD89" authorId="0" shapeId="0">
      <text>
        <r>
          <rPr>
            <b/>
            <sz val="9"/>
            <color indexed="81"/>
            <rFont val="Tahoma"/>
            <family val="2"/>
          </rPr>
          <t>Diana Alessandra Blanco Bernal:</t>
        </r>
        <r>
          <rPr>
            <sz val="9"/>
            <color indexed="81"/>
            <rFont val="Tahoma"/>
            <family val="2"/>
          </rPr>
          <t xml:space="preserve">
Se requiere diligenciar el campo análisis de resultados, generando un entregable en el cual se visualice la gestión, los resultados obtenidos y posibles riesgos que estén inherentes a dicha gestión de auditorías realizadas frente a las programadas.</t>
        </r>
      </text>
    </comment>
    <comment ref="AE89" authorId="0" shapeId="0">
      <text>
        <r>
          <rPr>
            <b/>
            <sz val="9"/>
            <color indexed="81"/>
            <rFont val="Tahoma"/>
            <family val="2"/>
          </rPr>
          <t>Diana Alessandra Blanco Bernal:</t>
        </r>
        <r>
          <rPr>
            <sz val="9"/>
            <color indexed="81"/>
            <rFont val="Tahoma"/>
            <family val="2"/>
          </rPr>
          <t xml:space="preserve">
Se requiere aplicar la fórmula matemática planteada para el indicador Nivel de Cumplimiento de las Auditorías Programadas, lo anterior teniendo en cuenta que se evidencia que se reportan resultados neto y se requiere los datos pertinentes. Adicional se requiere allegar programa de auditorías, el cual se ha solicitado en varias oportunidades, esto con el fin de generar los análisis del caso y reportar las mediciones adecuadas para dicho indicador de gestión.
</t>
        </r>
      </text>
    </comment>
    <comment ref="AF89" authorId="0" shapeId="0">
      <text>
        <r>
          <rPr>
            <b/>
            <sz val="9"/>
            <color indexed="81"/>
            <rFont val="Tahoma"/>
            <family val="2"/>
          </rPr>
          <t>Diana Alessandra Blanco Bernal:</t>
        </r>
        <r>
          <rPr>
            <sz val="9"/>
            <color indexed="81"/>
            <rFont val="Tahoma"/>
            <family val="2"/>
          </rPr>
          <t xml:space="preserve">
Se requiere diligenciar el campo análisis de resultados, generando un entregable en el cual se visualice la gestión, los resultados obtenidos y posibles riesgos que estén inherentes a dicha gestión de auditorías realizadas frente a las programadas.</t>
        </r>
      </text>
    </comment>
    <comment ref="AG89" authorId="0" shapeId="0">
      <text>
        <r>
          <rPr>
            <b/>
            <sz val="9"/>
            <color indexed="81"/>
            <rFont val="Tahoma"/>
            <family val="2"/>
          </rPr>
          <t>Diana Alessandra Blanco Bernal:</t>
        </r>
        <r>
          <rPr>
            <sz val="9"/>
            <color indexed="81"/>
            <rFont val="Tahoma"/>
            <family val="2"/>
          </rPr>
          <t xml:space="preserve">
Nuevamente se recomienda dar aplicación de la formulación matemática, esto con el fin de visualizar los resultados obtenidos, y ejecutar los debidos procesos de seguimiento, los cuales obedecen a análisis y ponderaciones por parte de la gestión de la Oficina Asesora de Planeación y Sistemas de Información.</t>
        </r>
      </text>
    </comment>
    <comment ref="AH89" authorId="0" shapeId="0">
      <text>
        <r>
          <rPr>
            <b/>
            <sz val="9"/>
            <color indexed="81"/>
            <rFont val="Tahoma"/>
            <family val="2"/>
          </rPr>
          <t>Diana Alessandra Blanco Bernal:</t>
        </r>
        <r>
          <rPr>
            <sz val="9"/>
            <color indexed="81"/>
            <rFont val="Tahoma"/>
            <family val="2"/>
          </rPr>
          <t xml:space="preserve">
En lo concerniente al indicador Nivel de Cumplimiento de las Auditorías Programadas se requiere nuevamente el programa relativos a las auditorias emitido por la gestión de control interno para la vigencia 2018.</t>
        </r>
      </text>
    </comment>
    <comment ref="AI89" authorId="0" shapeId="0">
      <text>
        <r>
          <rPr>
            <b/>
            <sz val="9"/>
            <color indexed="81"/>
            <rFont val="Tahoma"/>
            <family val="2"/>
          </rPr>
          <t>Diana Alessandra Blanco Bernal:</t>
        </r>
        <r>
          <rPr>
            <sz val="9"/>
            <color indexed="81"/>
            <rFont val="Tahoma"/>
            <family val="2"/>
          </rPr>
          <t xml:space="preserve">
Nuevamente se recomienda dar aplicación de la formulación matemática, esto con el fin de visualizar los resultados obtenidos, y ejecutar los debidos procesos de seguimiento, los cuales obedecen a análisis y ponderaciones por parte de la gestión de la Oficina Asesora de Planeación y Sistemas de Información.</t>
        </r>
      </text>
    </comment>
    <comment ref="AJ89" authorId="0" shapeId="0">
      <text>
        <r>
          <rPr>
            <b/>
            <sz val="9"/>
            <color indexed="81"/>
            <rFont val="Tahoma"/>
            <family val="2"/>
          </rPr>
          <t xml:space="preserve">Diana Alessandra Blanco Bernal:
</t>
        </r>
        <r>
          <rPr>
            <sz val="9"/>
            <color indexed="81"/>
            <rFont val="Tahoma"/>
            <family val="2"/>
          </rPr>
          <t>En lo concerniente al indicador Nivel de Cumplimiento de las Auditorías Programadas se requiere nuevamente el programa relativos a las auditorias emitido por la gestión de control interno para la vigencia 2018.</t>
        </r>
      </text>
    </comment>
    <comment ref="AK89" authorId="0" shapeId="0">
      <text>
        <r>
          <rPr>
            <b/>
            <sz val="9"/>
            <color indexed="81"/>
            <rFont val="Tahoma"/>
            <family val="2"/>
          </rPr>
          <t xml:space="preserve">Diana Alessandra Blanco Bernal:
</t>
        </r>
        <r>
          <rPr>
            <sz val="9"/>
            <color indexed="81"/>
            <rFont val="Tahoma"/>
            <family val="2"/>
          </rPr>
          <t>Nuevamente se recomienda dar aplicación de la formulación matemática, esto con el fin de visualizar los resultados obtenidos, y ejecutar los debidos procesos de seguimiento, los cuales obedecen a análisis y ponderaciones por parte de la gestión de la Oficina Asesora de Planeación y Sistemas de Información.</t>
        </r>
      </text>
    </comment>
    <comment ref="AL89" authorId="0" shapeId="0">
      <text>
        <r>
          <rPr>
            <b/>
            <sz val="9"/>
            <color indexed="81"/>
            <rFont val="Tahoma"/>
            <family val="2"/>
          </rPr>
          <t>Diana Alessandra Blanco Bernal:</t>
        </r>
        <r>
          <rPr>
            <sz val="9"/>
            <color indexed="81"/>
            <rFont val="Tahoma"/>
            <family val="2"/>
          </rPr>
          <t xml:space="preserve">
En lo concerniente al indicador Nivel de Cumplimiento de las Auditorías Programadas se requiere nuevamente el programa relativos a las auditorias emitido por la gestión de control interno para la vigencia 2018.</t>
        </r>
      </text>
    </comment>
    <comment ref="T90" authorId="0" shapeId="0">
      <text>
        <r>
          <rPr>
            <b/>
            <sz val="9"/>
            <color indexed="81"/>
            <rFont val="Tahoma"/>
            <family val="2"/>
          </rPr>
          <t>Diana Alessandra Blanco Bernal:</t>
        </r>
        <r>
          <rPr>
            <sz val="9"/>
            <color indexed="81"/>
            <rFont val="Tahoma"/>
            <family val="2"/>
          </rPr>
          <t xml:space="preserve">
Se requiere se allegue evidencia en donde se reporta el 89% de avance para Mapa de Riesgos,esto conforme a los resultados obtenidos.
</t>
        </r>
      </text>
    </comment>
    <comment ref="AE90" authorId="0" shapeId="0">
      <text>
        <r>
          <rPr>
            <b/>
            <sz val="9"/>
            <color indexed="81"/>
            <rFont val="Tahoma"/>
            <family val="2"/>
          </rPr>
          <t>Diana Alessandra Blanco Bernal:</t>
        </r>
        <r>
          <rPr>
            <sz val="9"/>
            <color indexed="81"/>
            <rFont val="Tahoma"/>
            <family val="2"/>
          </rPr>
          <t xml:space="preserve">
Se requiere reportar los resultados para el indicador Seguimiento al Mapa de Riesgos, esto en el entendido que la frecuencia de medición y análisis.
</t>
        </r>
      </text>
    </comment>
    <comment ref="AF90" authorId="0" shapeId="0">
      <text>
        <r>
          <rPr>
            <b/>
            <sz val="9"/>
            <color indexed="81"/>
            <rFont val="Tahoma"/>
            <family val="2"/>
          </rPr>
          <t>Diana Alessandra Blanco Bernal:</t>
        </r>
        <r>
          <rPr>
            <sz val="9"/>
            <color indexed="81"/>
            <rFont val="Tahoma"/>
            <family val="2"/>
          </rPr>
          <t xml:space="preserve">
Se requiere reportar los resultados para el indicador Seguimiento al Mapa de Riesgos, esto en el entendido que la frecuencia de medición y análisis.
</t>
        </r>
      </text>
    </comment>
    <comment ref="AK90" authorId="0" shapeId="0">
      <text>
        <r>
          <rPr>
            <b/>
            <sz val="9"/>
            <color indexed="81"/>
            <rFont val="Tahoma"/>
            <family val="2"/>
          </rPr>
          <t>Diana Alessandra Blanco Bernal:</t>
        </r>
        <r>
          <rPr>
            <sz val="9"/>
            <color indexed="81"/>
            <rFont val="Tahoma"/>
            <family val="2"/>
          </rPr>
          <t xml:space="preserve">
Nuevamente se recomienda dar aplicación de la formulación matemática, esto con el fin de visualizar los resultados obtenidos, y ejecutar los debidos procesos de seguimiento, los cuales obedecen a análisis y ponderaciones por parte de la gestión de la Oficina Asesora de Planeación y Sistemas de Información.</t>
        </r>
      </text>
    </comment>
    <comment ref="AL90" authorId="0" shapeId="0">
      <text>
        <r>
          <rPr>
            <b/>
            <sz val="9"/>
            <color indexed="81"/>
            <rFont val="Tahoma"/>
            <family val="2"/>
          </rPr>
          <t>Diana Alessandra Blanco Bernal:</t>
        </r>
        <r>
          <rPr>
            <sz val="9"/>
            <color indexed="81"/>
            <rFont val="Tahoma"/>
            <family val="2"/>
          </rPr>
          <t xml:space="preserve">
En lo que respecta a indicador Seguimiento al Mapa de Riesgos, se requiere especificar en qué categoría se cargara el Mapa de Riegos, esto teniendo en cuenta los procedimientos establecidos para tal fin.</t>
        </r>
      </text>
    </comment>
    <comment ref="AN91" authorId="0" shapeId="0">
      <text>
        <r>
          <rPr>
            <b/>
            <sz val="9"/>
            <color indexed="81"/>
            <rFont val="Tahoma"/>
            <family val="2"/>
          </rPr>
          <t>Diana Alessandra Blanco Bernal:</t>
        </r>
        <r>
          <rPr>
            <sz val="9"/>
            <color indexed="81"/>
            <rFont val="Tahoma"/>
            <family val="2"/>
          </rPr>
          <t xml:space="preserve">
Se recomienda especialmente tener en cuenta la ortografía en los textos reportados.</t>
        </r>
      </text>
    </comment>
    <comment ref="P93" authorId="0" shapeId="0">
      <text>
        <r>
          <rPr>
            <b/>
            <sz val="9"/>
            <color indexed="81"/>
            <rFont val="Tahoma"/>
            <family val="2"/>
          </rPr>
          <t>Diana Alessandra Blanco Bernal:</t>
        </r>
        <r>
          <rPr>
            <sz val="9"/>
            <color indexed="81"/>
            <rFont val="Tahoma"/>
            <family val="2"/>
          </rPr>
          <t xml:space="preserve">
Se requiere allegar Listado Maestro de informe, esto con el fin de obtener la evidencia que sustenta los resultados obtenidos.</t>
        </r>
      </text>
    </comment>
    <comment ref="AG93" authorId="0" shapeId="0">
      <text>
        <r>
          <rPr>
            <b/>
            <sz val="9"/>
            <color indexed="81"/>
            <rFont val="Tahoma"/>
            <family val="2"/>
          </rPr>
          <t>Diana Alessandra Blanco Bernal:</t>
        </r>
        <r>
          <rPr>
            <sz val="9"/>
            <color indexed="81"/>
            <rFont val="Tahoma"/>
            <family val="2"/>
          </rPr>
          <t xml:space="preserve">
En lo referente al indicador Informes entes de control, inspección y vigilancia, se requiere remitir los registros de total informes rendidos oportunamente en los periodos de octubre, noviembre y diciembre, lo anterior conforme a criterios establecidos por la gestión de control interno, esto con el fin de llevar a cabo los pertinentes actividades de análisis de los datos y posterior ponderación. </t>
        </r>
      </text>
    </comment>
    <comment ref="AH93" authorId="0" shapeId="0">
      <text>
        <r>
          <rPr>
            <b/>
            <sz val="9"/>
            <color indexed="81"/>
            <rFont val="Tahoma"/>
            <family val="2"/>
          </rPr>
          <t>Diana Alessandra Blanco Bernal:</t>
        </r>
        <r>
          <rPr>
            <sz val="9"/>
            <color indexed="81"/>
            <rFont val="Tahoma"/>
            <family val="2"/>
          </rPr>
          <t xml:space="preserve">
Allegar listado maestro de informes a rendir periódicamente.</t>
        </r>
      </text>
    </comment>
    <comment ref="AI93" authorId="0" shapeId="0">
      <text>
        <r>
          <rPr>
            <b/>
            <sz val="9"/>
            <color indexed="81"/>
            <rFont val="Tahoma"/>
            <family val="2"/>
          </rPr>
          <t>Diana Alessandra Blanco Bernal:</t>
        </r>
        <r>
          <rPr>
            <sz val="9"/>
            <color indexed="81"/>
            <rFont val="Tahoma"/>
            <family val="2"/>
          </rPr>
          <t xml:space="preserve">
En lo referente al indicador Informes entes de control, inspección y vigilancia, se requiere remitir los registros de total informes rendidos oportunamente en los periodos de octubre, noviembre y diciembre, lo anterior conforme a criterios establecidos por la gestión de control interno, esto con el fin de llevar a cabo los pertinentes actividades de análisis de los datos y posterior ponderación. </t>
        </r>
      </text>
    </comment>
    <comment ref="AJ93" authorId="0" shapeId="0">
      <text>
        <r>
          <rPr>
            <b/>
            <sz val="9"/>
            <color indexed="81"/>
            <rFont val="Tahoma"/>
            <family val="2"/>
          </rPr>
          <t>Diana Alessandra Blanco Bernal:</t>
        </r>
        <r>
          <rPr>
            <sz val="9"/>
            <color indexed="81"/>
            <rFont val="Tahoma"/>
            <family val="2"/>
          </rPr>
          <t xml:space="preserve">
Allegar listado maestro de informes a rendir periódicamente.</t>
        </r>
      </text>
    </comment>
    <comment ref="AK93" authorId="0" shapeId="0">
      <text>
        <r>
          <rPr>
            <b/>
            <sz val="9"/>
            <color indexed="81"/>
            <rFont val="Tahoma"/>
            <family val="2"/>
          </rPr>
          <t>Diana Alessandra Blanco Bernal:</t>
        </r>
        <r>
          <rPr>
            <sz val="9"/>
            <color indexed="81"/>
            <rFont val="Tahoma"/>
            <family val="2"/>
          </rPr>
          <t xml:space="preserve">
En lo referente al indicador Informes entes de control, inspección y vigilancia, se requiere remitir los registros de total informes rendidos oportunamente en los periodos de octubre, noviembre y diciembre, lo anterior conforme a criterios establecidos por la gestión de control interno, esto con el fin de llevar a cabo los pertinentes actividades de análisis de los datos y posterior ponderación. </t>
        </r>
      </text>
    </comment>
    <comment ref="AL93" authorId="0" shapeId="0">
      <text>
        <r>
          <rPr>
            <b/>
            <sz val="9"/>
            <color indexed="81"/>
            <rFont val="Tahoma"/>
            <family val="2"/>
          </rPr>
          <t>Diana Alessandra Blanco Bernal:</t>
        </r>
        <r>
          <rPr>
            <sz val="9"/>
            <color indexed="81"/>
            <rFont val="Tahoma"/>
            <family val="2"/>
          </rPr>
          <t xml:space="preserve">
Allegar listado maestro de informes a rendir periódicamente.</t>
        </r>
      </text>
    </comment>
    <comment ref="G94" authorId="8" shapeId="0">
      <text>
        <r>
          <rPr>
            <b/>
            <sz val="9"/>
            <color indexed="81"/>
            <rFont val="Tahoma"/>
            <family val="2"/>
          </rPr>
          <t>Carla Vanesa Navas Pulido:</t>
        </r>
        <r>
          <rPr>
            <sz val="9"/>
            <color indexed="81"/>
            <rFont val="Tahoma"/>
            <family val="2"/>
          </rPr>
          <t xml:space="preserve">
Se calcula con la transacción MCXE, se adjunta arhivo con instrucciones. </t>
        </r>
      </text>
    </comment>
    <comment ref="J95" authorId="0" shapeId="0">
      <text>
        <r>
          <rPr>
            <b/>
            <sz val="9"/>
            <color indexed="81"/>
            <rFont val="Tahoma"/>
            <family val="2"/>
          </rPr>
          <t xml:space="preserve">Carla Vanesa Navas Pulido:
</t>
        </r>
        <r>
          <rPr>
            <sz val="9"/>
            <color indexed="81"/>
            <rFont val="Tahoma"/>
            <family val="2"/>
          </rPr>
          <t xml:space="preserve">Se cambio forma de calculo
</t>
        </r>
        <r>
          <rPr>
            <b/>
            <sz val="9"/>
            <color indexed="81"/>
            <rFont val="Tahoma"/>
            <family val="2"/>
          </rPr>
          <t xml:space="preserve">Diana Alessandra Blanco Bernal:
</t>
        </r>
        <r>
          <rPr>
            <sz val="9"/>
            <color indexed="81"/>
            <rFont val="Tahoma"/>
            <family val="2"/>
          </rPr>
          <t>Se sugiere efectuar control de cambios al criterio fórmula matemática, lo anterior teniendo en cuenta que no se logra efectuar medición con respecto a la meta establecida por la gestión de control de calidad de la entidad.</t>
        </r>
      </text>
    </comment>
    <comment ref="AR95" authorId="0" shapeId="0">
      <text>
        <r>
          <rPr>
            <b/>
            <sz val="9"/>
            <color indexed="81"/>
            <rFont val="Tahoma"/>
            <family val="2"/>
          </rPr>
          <t>Diana Alessandra Blanco Bernal:</t>
        </r>
        <r>
          <rPr>
            <sz val="9"/>
            <color indexed="81"/>
            <rFont val="Tahoma"/>
            <family val="2"/>
          </rPr>
          <t xml:space="preserve">
Soporte registro de rechazo y reclamo proveedores.</t>
        </r>
      </text>
    </comment>
    <comment ref="G96" authorId="8" shapeId="0">
      <text>
        <r>
          <rPr>
            <b/>
            <sz val="9"/>
            <color indexed="81"/>
            <rFont val="Tahoma"/>
            <family val="2"/>
          </rPr>
          <t>Carla Vanesa Navas Pulido:</t>
        </r>
        <r>
          <rPr>
            <sz val="9"/>
            <color indexed="81"/>
            <rFont val="Tahoma"/>
            <family val="2"/>
          </rPr>
          <t xml:space="preserve">
Se calcula con la transacción MCXE, se adjunta arhivo con instrucciones. 
</t>
        </r>
      </text>
    </comment>
    <comment ref="AR96" authorId="0" shapeId="0">
      <text>
        <r>
          <rPr>
            <b/>
            <sz val="9"/>
            <color indexed="81"/>
            <rFont val="Tahoma"/>
            <family val="2"/>
          </rPr>
          <t>Diana Alessandra Blanco Bernal:</t>
        </r>
        <r>
          <rPr>
            <sz val="9"/>
            <color indexed="81"/>
            <rFont val="Tahoma"/>
            <family val="2"/>
          </rPr>
          <t xml:space="preserve">
Soporte registro de rechazo y reclamo proveedores.</t>
        </r>
      </text>
    </comment>
    <comment ref="G97" authorId="8" shapeId="0">
      <text>
        <r>
          <rPr>
            <b/>
            <sz val="9"/>
            <color indexed="81"/>
            <rFont val="Tahoma"/>
            <family val="2"/>
          </rPr>
          <t>Carla Vanesa Navas Pulido:</t>
        </r>
        <r>
          <rPr>
            <sz val="9"/>
            <color indexed="81"/>
            <rFont val="Tahoma"/>
            <family val="2"/>
          </rPr>
          <t xml:space="preserve">
Se unifican tres indicadores: avisos correctivos, preventivos y de mejora, quedando uno solo llamado Avisos Acciones, que corresponde a la suma de los tres.</t>
        </r>
      </text>
    </comment>
    <comment ref="J97" authorId="0" shapeId="0">
      <text>
        <r>
          <rPr>
            <b/>
            <sz val="9"/>
            <color indexed="81"/>
            <rFont val="Tahoma"/>
            <family val="2"/>
          </rPr>
          <t>Carla Vanesa Navas Pulido:</t>
        </r>
        <r>
          <rPr>
            <sz val="9"/>
            <color indexed="81"/>
            <rFont val="Tahoma"/>
            <family val="2"/>
          </rPr>
          <t xml:space="preserve">
Se cambio forma de calculo</t>
        </r>
        <r>
          <rPr>
            <b/>
            <sz val="9"/>
            <color indexed="81"/>
            <rFont val="Tahoma"/>
            <family val="2"/>
          </rPr>
          <t xml:space="preserve">
Diana Alessandra Blanco Bernal:</t>
        </r>
        <r>
          <rPr>
            <sz val="9"/>
            <color indexed="81"/>
            <rFont val="Tahoma"/>
            <family val="2"/>
          </rPr>
          <t xml:space="preserve">
Se sugiere efectuar control de cambios al criterio fórmula matemática, lo anterior teniendo en cuenta que no se logra efectuar medición con respecto a la meta establecida por la gestión de control de calidad de la entidad.</t>
        </r>
      </text>
    </comment>
    <comment ref="J98" authorId="8" shapeId="0">
      <text>
        <r>
          <rPr>
            <b/>
            <sz val="9"/>
            <color indexed="81"/>
            <rFont val="Tahoma"/>
            <family val="2"/>
          </rPr>
          <t>Carla Vanesa Navas Pulido:</t>
        </r>
        <r>
          <rPr>
            <sz val="9"/>
            <color indexed="81"/>
            <rFont val="Tahoma"/>
            <family val="2"/>
          </rPr>
          <t xml:space="preserve">
Se cambio forma de calculo
</t>
        </r>
        <r>
          <rPr>
            <b/>
            <sz val="9"/>
            <color indexed="81"/>
            <rFont val="Tahoma"/>
            <family val="2"/>
          </rPr>
          <t xml:space="preserve">Diana Alessandra Blanco Bernal:
</t>
        </r>
        <r>
          <rPr>
            <sz val="9"/>
            <color indexed="81"/>
            <rFont val="Tahoma"/>
            <family val="2"/>
          </rPr>
          <t>Se sugiere efectuar control de cambios al criterio fórmula matemática, lo anterior teniendo en cuenta que no se logra efectuar medición con respecto a la meta establecida por la gestión de control de calidad de la entidad.</t>
        </r>
      </text>
    </comment>
    <comment ref="E99" authorId="9" shapeId="0">
      <text>
        <r>
          <rPr>
            <b/>
            <sz val="9"/>
            <color indexed="81"/>
            <rFont val="Tahoma"/>
            <family val="2"/>
          </rPr>
          <t>carla vanessa navas pulido:
Pendiente aclarar proceso que se va a realizar.</t>
        </r>
      </text>
    </comment>
    <comment ref="J99" authorId="8" shapeId="0">
      <text>
        <r>
          <rPr>
            <b/>
            <sz val="9"/>
            <color indexed="81"/>
            <rFont val="Tahoma"/>
            <family val="2"/>
          </rPr>
          <t xml:space="preserve">Carla Vanesa Navas Pulido:
</t>
        </r>
        <r>
          <rPr>
            <sz val="9"/>
            <color indexed="81"/>
            <rFont val="Tahoma"/>
            <family val="2"/>
          </rPr>
          <t>Se cambio forma de calculo</t>
        </r>
        <r>
          <rPr>
            <b/>
            <sz val="9"/>
            <color indexed="81"/>
            <rFont val="Tahoma"/>
            <family val="2"/>
          </rPr>
          <t xml:space="preserve">
Diana Alessandra Blanco Bernal:</t>
        </r>
        <r>
          <rPr>
            <sz val="9"/>
            <color indexed="81"/>
            <rFont val="Tahoma"/>
            <family val="2"/>
          </rPr>
          <t xml:space="preserve">
Se sugiere efectuar control de cambios al criterio fórmula matemática, lo anterior teniendo en cuenta que no se logra efectuar medición con respecto a la meta establecida por la gestión de control de calidad de la entidad.
</t>
        </r>
      </text>
    </comment>
  </commentList>
</comments>
</file>

<file path=xl/sharedStrings.xml><?xml version="1.0" encoding="utf-8"?>
<sst xmlns="http://schemas.openxmlformats.org/spreadsheetml/2006/main" count="2621" uniqueCount="1360">
  <si>
    <t>EMPRESA DE LICORES DE CUNDINAMARCA</t>
  </si>
  <si>
    <t>Código: MPE0203000000.F01-1</t>
  </si>
  <si>
    <t>Versión: 1</t>
  </si>
  <si>
    <t>Fecha de emisión:
18/04/2018</t>
  </si>
  <si>
    <t>Página
1 de 1</t>
  </si>
  <si>
    <t>TIPOS DE PROCESOS</t>
  </si>
  <si>
    <t>N°</t>
  </si>
  <si>
    <t>MACROPROCESOS  ASOCIADOS</t>
  </si>
  <si>
    <t>PROCESOS</t>
  </si>
  <si>
    <t>NOMBRE DEL INDICADOR</t>
  </si>
  <si>
    <t>OBJETIVO DEL INDICADOR</t>
  </si>
  <si>
    <t>TIPO DE INDICADOR</t>
  </si>
  <si>
    <t>FÓRMULA MATEMÁTICA</t>
  </si>
  <si>
    <t>UNIDAD DE MEDIDA.</t>
  </si>
  <si>
    <t>RESPONSABLE</t>
  </si>
  <si>
    <t>FRECUENCIA DE MEDICIÓN</t>
  </si>
  <si>
    <t>FRECUENCIA DE ANALISIS</t>
  </si>
  <si>
    <t>ENERO</t>
  </si>
  <si>
    <t>ANÁLISIS DE RESULTADOS.</t>
  </si>
  <si>
    <t>FEBRERO</t>
  </si>
  <si>
    <t>MARZO</t>
  </si>
  <si>
    <t>ABRIL</t>
  </si>
  <si>
    <t>MAYO</t>
  </si>
  <si>
    <t>JUNIO</t>
  </si>
  <si>
    <t>JULIO</t>
  </si>
  <si>
    <t>AGOSTO</t>
  </si>
  <si>
    <t>SEPTIEMBRE</t>
  </si>
  <si>
    <t>OCTUBRE</t>
  </si>
  <si>
    <t>NOVIEMBRE</t>
  </si>
  <si>
    <t>DICIEMBRE</t>
  </si>
  <si>
    <t>LINEA BASE</t>
  </si>
  <si>
    <t>META</t>
  </si>
  <si>
    <t>MALO</t>
  </si>
  <si>
    <t>REGULAR</t>
  </si>
  <si>
    <t>BUENO</t>
  </si>
  <si>
    <t>OBSERVACIONES</t>
  </si>
  <si>
    <t>RESULTADOS FAVORABLES/ OPORTUNIDAD DE MEJORA / ACCIÓN CORRECTIVA.</t>
  </si>
  <si>
    <t>ACUMULADO ENE- DIC 2018.</t>
  </si>
  <si>
    <t>ACUMULADO PERIODO VENCIDO.</t>
  </si>
  <si>
    <t>PROCESOS ESTRATEGICOS.</t>
  </si>
  <si>
    <t>1.</t>
  </si>
  <si>
    <t>DIRECCIONAMIENTO ESTRATEGICO.</t>
  </si>
  <si>
    <t>1.1.</t>
  </si>
  <si>
    <t>Formulación de Planes y Programas.</t>
  </si>
  <si>
    <t>1.1.1.</t>
  </si>
  <si>
    <t>Índice de costos / gastos para la dependencia Oficina asesora de planeación y sistemas de información.</t>
  </si>
  <si>
    <t>Determinar el grado de eficiencia con que se emplean los recursos(costos / gastos incurridos), en la oficina asesora de planeación y sistemas de información.</t>
  </si>
  <si>
    <t>Eficiencia.</t>
  </si>
  <si>
    <t>(Índice de costos / gastos para la dependencia Oficina asesora de planeación y sistemas de información = Costos y/o gastos totales incurridos por la OAPSI/ Costos y/o gastos totales incurridos por la ELC)*100.</t>
  </si>
  <si>
    <t>Porcentual.</t>
  </si>
  <si>
    <t xml:space="preserve">Oficina asesora de planeación y sistemas de información. </t>
  </si>
  <si>
    <t>Mensual.</t>
  </si>
  <si>
    <t>Frente al 100% de los gastos incurridos para el periodo de enero de 2018, el centro de costos ELC1170 correspondiente a la Oficina Asesora de Planeación y Sistema de Información concentra el 14,98% de la totalidad de las erogaciones generadas por la entidad, esto por conceptos de Cesantias (50,17%) siendo este uno de los mas preponderantes, Mantenimientos de equipos, Sueldos , entre otros).</t>
  </si>
  <si>
    <t>La Empresa de Licores de Cundinamarca en el mes de febrero incurrio en gastos por un valor de $1.485.774.633 (cifra expresada en pesos colombianos), de los cuales el centro de costos ELC1170  incurrio para su operación en $165.604.496 (cifra expresada en pesos colombianos), lo cuales corresponde al 11,15% de la totalidad de las erogaciones necesarias para dar alcance a la operación de la gestión, se visualiza una dismunución del 49,49 puntos porcentuales frente al periodo anterior.</t>
  </si>
  <si>
    <t>Para el periodo de marzo de 2018, la Oficina Asesora de Planeación y Sistemas de la Información incurre en 9,47% frente al total de los gastos totales de la entidad, dicha participación porcentual se desagraga de la siguiente forma: 
*Prestación de servicios: $138.777.800 (cifra expresada en pesos colombianos), participación de 39,17 puntos porcentuales;
*Honorarios: $ 52.829.000 (cifra expresada en pesos colombianos), participación de 14,91 puntos porcentuales;
* Mantenimientos: $ 54.998.926 (cifra expresada en pesos colombianos), participación de 15,52 puntos porcentuales;
* Cesantias: $ 40.057.145  (cifra expresada en pesos colombianos), participación de 11,30 puntos porcentuales.</t>
  </si>
  <si>
    <t>Al efectuar las validaciones pertinentes, esto con el objetivo de obtener la participación en ambito de costos y/o gastos incurridos por la Oficina Asesora de Planeación y Sistemas de Información, se evidencia que para el periodo de abril de 2018, la gestión en mención obtuvo una concentración del 12,16% frente a la totalidad de los costos y/o gastos incurridos por la Empresa de Licores de Cundinamarca, lo cual representa la octava parte de los recursos requeridos para la operación de la gestión en cuestión.</t>
  </si>
  <si>
    <t>Para el periodo de mayo la Oficina Asesora de Planeación y Sistema de Información, se visualiza disminución en la partida de mantenimiento y servicios de sistemas, lo cual genera ahorro en 6,06 puntos porcentuales frente al periodo de abril de 2018, lo cual es favorable teniendo en cuenta el objetivo estratégico plasmado el Plan Estratégico de la entidad.</t>
  </si>
  <si>
    <t>Del total de los costos y/o gastos incurridos por la Empresa de Licores de Cundinamarca, la gestión de la Oficina Asesora de Planeación y Sistemas de Información incurrio en $433.410.425 (cifra expresa en millones de pesos colombianos), lo cual corresponde al 4,40% de la totalidad de los costos incurridos por la entidad.</t>
  </si>
  <si>
    <t>Disminución 5% anual.</t>
  </si>
  <si>
    <t>1.1.2.</t>
  </si>
  <si>
    <t>Presentacion informes institucionales.</t>
  </si>
  <si>
    <t>Dar cumplimiento en calidad y oportunidad con las obligaciones y requerimientos formales de los entes internos, externos y de control de la Empresa de Licores de Cundinamarca para evitar sanciones disciplinarias y pecuniarias.</t>
  </si>
  <si>
    <t>Eficacia.</t>
  </si>
  <si>
    <t>Presentacion informes institucionales = No. informes presentados oportunamente  / No. informes programados.</t>
  </si>
  <si>
    <t>Cantidad.</t>
  </si>
  <si>
    <t>De acuerdo con los terminos establecidos por los entes de control, supervisión y vigilancia a los cuales reporta la Empresa de Licores de Cundinamarca.</t>
  </si>
  <si>
    <t>Atención a solicitudes de asesoria y entrega oportuna de requerimientos s entes internos y externos:
Presentación oportuna de informes a entes de control:
Rendición de cuentas Contraloría de Cundinamarca:
Cuenta mensual:  Enero  2018
Cuenta deuda pública: Enero 2018
Consolidación, revisión con acompañamiento y trabajo de campo , ajuste y aprobación del Plan de Acción 2018 de Subgerencias y Oficinas</t>
  </si>
  <si>
    <t>Atención a solicitudes de asesoria y entrega oportuna de requerimientos a entes internos y externos:
Asesoría profesional y acompañamiento a los servidores públicos de acuerdo con las solicitudes para diligenciamientos de  informes de Gestión y rendición cuenta anual a la  Contraloría.
Rendición de cuentas Contraloría de Cundinamarca:
Cuenta anual 2017 en febrero de 2018
Cuenta deuda pública: Febrero 2018
Oficina de Control Interno: Avance Plan de Mejoramiento 2014-2015 en febrero de 2018.
Consolidación de informe de gestión 2017 de las dependencias y envío a Contraloría de Cundinamarca</t>
  </si>
  <si>
    <t>Se brindó asesoría profesional y acompañamiento a los servidores públicos de acuerdo con las solicitudes para diligenciamientos de rendición de cuentas mensual de marzo Contraloría de Cundinamarca:
Rendición de cuentas Contraloría de Cundinamarca:
Cuenta mensual:  Marzo  
Cuenta deuda pública: Marzo.
Consolidación, análisis, elaboración de informe de gestión y avance metas del Plan Estratégico con tableros de control y envio a entes internos y externos.
Secretaría de Hacienda: Información financiera año 2017 
Secretaría de Planeación: (Circular No. 011 Gobernador de Cundinamarca)  Información año 2017
Oficina de Control Interno: Avance Plan de Mejoramiento 2014-2015 en febrero de 2018.
Asamblea de Cundinamarca: Respuesta a un derecho de petición
Oficina Asesora de Jurídica: Respuesta a dos derechos de petición de Diageo
Cronograma de presentación de informes elaborado no socializado.</t>
  </si>
  <si>
    <t>Se brindó asesoría profesional y acompañamiento a los servidores públicos de acuerdo con las solicitudes para diligenciamientos de informes de gestión con corte 31 de marzo de 2018.
Rendición de cuentas Deuda Pública a reportar a la Contraloría de Cundinamarca, correspondiente al mes de abril del presente año.
Solicitud de información trimestral: 
Secretaría de Hacienda: Información financiera con corte a 31 de marzo de 2018;
Secretaría de Planeación: (Circular No. 011 Gobernador de Cundinamarca)  con corte a 31 de marzo de 2018;Elaboración y presentación de Informe de Junta Directiva con corte a 31 de marzo de 2018;
Elaboración y presentación de avance de indicadores de gestión por procesos con corte a 30 de marzo de 2018;
Cronograma de presentación de informes elaborado y socializado.</t>
  </si>
  <si>
    <t xml:space="preserve">Rendición de cuentas Deuda Pública a reportar a la Contraloría de Cundinamarca, correspondiente al mes de mayo del presente año.
Revisión y consolidación de informes de gestión recepcionados en la Gestión de Direccionamiento Estratégico de la entidad.
Elaboración y presentación de Informe de Junta Directiva con corte a 30 de abril de 2018;
Elaboración y presentación de avance de indicadores de gestión por procesos con corte a 31 de mayo de 2018.
</t>
  </si>
  <si>
    <t xml:space="preserve">Rendición de cuentas Deuda Pública a reportar a la Contraloría de Cundinamarca, correspondiente al mes de junio del presente año.
Revisión y consolidación de informes de gestión recepcionados en la Gestión de Direccionamiento Estratégico de la entidad.
Elaboración y presentación de Informe de Junta Directiva con corte a 30 de abril de 2018;
Elaboración y presentación de avance de indicadores de gestión por procesos con corte a 30 de junio de 2018.
</t>
  </si>
  <si>
    <t xml:space="preserve">Asesoría profesional,  capacitación,  inducción y reinducción a servidores públicos de acuerdo con solicitudes.
Rendición de cuentas Deuda Pública a reportar a la Contraloría de Cundinamarca, correspondiente al mes de julio del presente año.
Solicitud de informes de gestión a Subgerencias y Oficinas con corte a 30 de junio de 2018.
Solicitud Informe de Junta Directiva con corte a 30 de junio de 2018
Solicitud de informes Financieros segundo trimestre de 2018 para Secretaría de Hacienda
</t>
  </si>
  <si>
    <t xml:space="preserve">Asesoría profesional,  capacitación,  inducción y reinducción a servidores públicos de acuerdo con solicitudes.
Rendición de cuentas Deuda Pública a reportar a la Contraloría de Cundinamarca, correspondiente al mes de agosto del presente año.
Recepción,  revisión y consolidación de informes de gestión de Subgerencias y Oficinas con corte a 30 de junio de 2018.
Elaboración y presentacion de Informe de Junta Directiva con corte a 31 de julio de 2018
Consolidación y remisión de informes Financieros segundo trimestre de 2018 a Secretaría de Hacienda
</t>
  </si>
  <si>
    <t xml:space="preserve">Asesoría profesional,  capacitación,  inducción y reinducción a servidores públicos de acuerdo con solicitudes.
Rendición de cuentas Deuda Pública a reportar a la Contraloría de Cundinamarca, correspondiente al mes de agosto del presente año.
Elaboración y presentacion de Informe de Junta Directiva con corte a 31 de agosto de 2018.
Solicitud informe de gestión a 30 de septiembre de 2018
</t>
  </si>
  <si>
    <t>Historico.</t>
  </si>
  <si>
    <t>1.1.3.</t>
  </si>
  <si>
    <t xml:space="preserve">Seguimiento y evaluación de plan estrategico. </t>
  </si>
  <si>
    <t xml:space="preserve">Medir el porcentaje de avance y cumplimiento de los programas y proyectos que conforman el Plan Estrategico adoptado por la Empresa de Licores de Cundinamarca, garantizando la toma de decisiones oportunamente de acuerdo con los resultados. </t>
  </si>
  <si>
    <t xml:space="preserve">Seguimiento y evaluación de plan estrategico  = % avance real acumulado del plan estrategico de la ELC / % avance programado del plan estrategico de la ELC </t>
  </si>
  <si>
    <t>Oficina asesora de planeación y sistemas de información.  (RUBY)</t>
  </si>
  <si>
    <t xml:space="preserve">Trimestral. </t>
  </si>
  <si>
    <t xml:space="preserve">Avance de los programas y proyectos que conforman el Plan Estratégico a 31 de diciembre de 2017 con la herramienta tableros de control.
</t>
  </si>
  <si>
    <t xml:space="preserve">El avance de los programas y proyectos del Plan Estratégico a 31 de marzo de 2018, se reporta en el mes de abril. </t>
  </si>
  <si>
    <t xml:space="preserve">De acuerdo con el seguimiento efectuado a los programas y proyectos del Plan Estratégico mediante la implementación de los tableros de control, se registra un avance a 31 de merzxo  2016-2018 de 58.05%.  Un resultado aceptable si se tiene en cuenta que se registraron decrementos en las metas de impacto y resultado en lo relacioando con  las transferencias  al departamento por el  Impuesto unificado causado directamentamente por el decremiento del 20% en las ventas con de licores y alcoholes.  Sin embargo, en el periodo de análisis se obtuvo un incremento del 203% en la Utilidad Neta del periodo como resultado al parecer de la disminución en el gasto. por el Plan de Retiro del año anterior y negociacionesd con proveedores, entre otros.  </t>
  </si>
  <si>
    <t>NA</t>
  </si>
  <si>
    <t xml:space="preserve">Se reporto el avance de los programas y proyectos del Plan Estratégico con corte a 31 de marzo de 2018, los cuales fueron socializados mediante oficio y correo institucional a cada de los Subgerentes y Jefes de Oficina, para su correspondiente divulgación.
El avance de los programas y proyectos del Plan Estratégico a 30 de junio de 2018, se reporta en el mes de julio. </t>
  </si>
  <si>
    <t xml:space="preserve">De acuerdo con el seguimiento efectuado a los programas y proyectos del Plan Estratégico mediante la implementación de los tableros de control, se registra un avance a 30 de Junio  2016-2018 de 61.42%.  Un resultado aceptable si se tiene en cuenta que se registraron decrementos en las metas de impacto y resultado en lo relacionado con  las transferencias  al departamento por el  Impuesto unificado causado directamente por el decremiento del 14% en las ventas de licores.  Sin embargo, en el periodo de análisis se obtuvo un incremento del 220% en la Utilidad Neta del periodo como resultado de las acciones adelantadas por la administración con las políticas de reducción de costos y gastos que han permitido obtener niveles importantes de eficiencia.  </t>
  </si>
  <si>
    <t xml:space="preserve">El avance de los programas y proyectos del Plan Estratégico a 30 de septiembre de 2018, se reporta en el mes de octubre. </t>
  </si>
  <si>
    <t>1.2.</t>
  </si>
  <si>
    <t>Gestión de Proyectos.</t>
  </si>
  <si>
    <t>1.2.1.</t>
  </si>
  <si>
    <t>Formulación y evaluación de proyectos.</t>
  </si>
  <si>
    <t>Determinar el avance de los proyectos de inversión que se encuentran en ejecución en la ELC, para establecer su cumplimiento.</t>
  </si>
  <si>
    <t>Formulación y evaluación de proyectos =( % avance real proyectos en el periodo/ % avance programado Proyectos en el periodo) * 100.</t>
  </si>
  <si>
    <t xml:space="preserve">Seguimiento al proyecto de automatización: Diseñar, suministrar, instalar y poner en marcha el sistema de instrumentación para la optimización y actualización tecnológica de la planta de producción de la Empresa de Licores de Cundinamarca.
Avance del proyecto a 31 de diciembre de 2017:  73%
</t>
  </si>
  <si>
    <t>N/A</t>
  </si>
  <si>
    <t xml:space="preserve">El avance del proyectos de automatización a 31 de marzo de 2018, se reporta en el mes de abril. </t>
  </si>
  <si>
    <t>A la fecha, el avance de proyecto se estima en 98%, teniendo en cuenta que las siguientes actividades han finalizado:
·         Desarrollo de ingenierías básica y de detalle
·         Instalación mecánica de instrumentos
·         Diseño, ensamble e instalación de tableros
·         Suministro, instalación y configuración de servidores y equipos de cómputo
·         Conexionado de instrumentos y tableros
·         Instalación de tubería neumática
·         Puesta en marcha de líneas de recibo, preparación y despacho a sala de envasado
·         Configuración de instrumentos de medición
·         Conexionado de válvulas
·         Capacitación a personal de planta
Teniendo en cuenta validaciones pertinentes a los procedimientos correspondientes al Banco de Proyectos de la entidad, se evidencia que los mismos se ajustan a la realidad en el ambito en cuestión, sin embargo se requiere efectuar la aplicabilidad adecuada y generar mecanismos o metologia de apropiación de los procedimientos relativos al Banco de Proyectos, dichas consideraciones se reportan en la acción correctiva AC-02 generada en el periodo de junio de 2018, para ejecucción en el segundo semestre de año en mención.</t>
  </si>
  <si>
    <t>El proyecto de automatización denominado: "Diseñar, suministrar, instalar y poner en marcha el sistema de control e instrumentación para la optimización y actualización tecnológica de la planta de producción de la Empresa de Licores de Cundinamarca” registra un avance del 98%  a 30 de junio de 2018 encontrándose en su etapa final.</t>
  </si>
  <si>
    <t>De acuerdo con la acción correctiva AC-02,el treinta (30) de agosto de 2018, se realizó jornada de socialización para los líderes de los procesos y profesionales designados de Subgerencias y Oficinas de los procedimientos Adminsitración del Banco de Proyectos y Formulación y evaluación de proyectos de inversión para viabilización e inscripción en el Banco de Proyectos de la ELC. Se contó con la asistencia de doce (12) funcionarios.</t>
  </si>
  <si>
    <t xml:space="preserve">El avance del proyecto de automatización a 30 de septiembre de 2018, se reporta en el mes de octubre. </t>
  </si>
  <si>
    <t>2.</t>
  </si>
  <si>
    <t>SIG.</t>
  </si>
  <si>
    <t>2.1.</t>
  </si>
  <si>
    <t>Gestión Documental.</t>
  </si>
  <si>
    <t>2.1.1.</t>
  </si>
  <si>
    <t>Documentación y Actualización de procedimientos.</t>
  </si>
  <si>
    <t>Conservar  y garantizar la actualización y aplicación de  la documentación apropiada como evidencia de que los recursos de procedimientos son idoneos para la ejecución de los procesos de la Empresa de Licores de Cundinamarca.</t>
  </si>
  <si>
    <t>Documentación y Actualización de procedimientos = No. procedimientos aprobados/ No.total de solicitudes* 100</t>
  </si>
  <si>
    <t>En el primer mes del año se actualizaron documentos correspondientes a Gestión del Talento Humano, Gestión de Calidad, Tecnologías de la Información  y Sistema Integrado de Gestión. El indicador obtenido es del 22,9% lo que indica que se ha avanzado notoriamente en la actualización de la documentación, sin embargo es necesario mejorar los tiempos de aprobación.</t>
  </si>
  <si>
    <t>En el segundo mes del año se actualizaron documentos correspondientes a Gestión del Talento Humano, Gestión de Calidad, Gestión de Producción, Control Interno Disciplinario  y Sistema Integrado de Gestión. El indicador obtenido es del 23% lo que indica que de Enero a Febrero se ha incrementado la actualización documental, pero es necesario continuar con la misma para obtener un 100%.</t>
  </si>
  <si>
    <t xml:space="preserve">En el tercer mes del año se actualizaron documentos correspondientes a Gestión del Talento Humano, Gestión de Calidad, Tecnologías de la Información, Gestión Contractual, Gestión Jurídica y Control Interno. El indicador obtenido es del 88% lo que indica que con el trabajo realizado durante el año 2017 y durante los meses de Enero, Febrero y marzo ha sido altamente satisfactorio. </t>
  </si>
  <si>
    <t>Para el mes de Abril de efectuaron 8 asesorías con lo que respecta a la documentación obteniendo un 43% en avance de actualización y migración. Para el porcentaje de aprobación de obtuvo el 3% por parte de cada Jefe de Macropoceso.
Esta información fue reportada por los practicantes universitarios Juan Sebatian Pineda y Laura Camila Torres.</t>
  </si>
  <si>
    <t>Para el mes de Mayol de efectuaron 2 asesorías con lo que respecta a la documentación obteniendo un 51% en avance de actualización y migración. Para el porcentaje de aprobación de obtuvo el 7% por parte de cada Jefe de Macropoceso.
Esta información fue reportada por los practicantes universitarios Juan Sebatian Pineda y Laura Camila Torres.</t>
  </si>
  <si>
    <t>Para el mes de Junio  de efectuaron 11 asesorías con lo que respecta a la documentación obteniendo un 60% en avance de actualización y migración. Para el porcentaje de aprobación de obtuvo el 19% por parte de cada Jefe de Macropoceso.
Esta información fue reportada por los practicantes universitarios Juan Sebatian Pineda y Laura Camila Torres.</t>
  </si>
  <si>
    <t xml:space="preserve"> Actualización de documentos del SIG = 37/37 = 100%
</t>
  </si>
  <si>
    <t xml:space="preserve">En el mes de Julio se actualizaron 
12 procedimientos, 
23 formatos, 
1 Manual y 
1 instructivo,para un total de documentos de 37.
</t>
  </si>
  <si>
    <t xml:space="preserve"> Actualización de Documentos del SIG = 94/94 = 100%
</t>
  </si>
  <si>
    <t xml:space="preserve">En el mes de Julio se actualizaron 
41 procedimientos, 
27 formatos, 
1 Manual y 
25 instructivos,para un total de documentos de 94.
</t>
  </si>
  <si>
    <t xml:space="preserve"> Actualización de Documentos del SIG = 48/48 = 100%
</t>
  </si>
  <si>
    <t xml:space="preserve">En el mes de septiembre se actualizaron 
21 procedimientos, 
16 formatos, 
7 Guías y 
4 instructivos,para un total de documentos de 48.
Durante el III trimestre se crearon 7 documentos y se identificaron 21 como  obsoletos.  
Igualmente, se publicaron en la intranet 177 de 179 documentos actualizados (2 son confidenciales).
</t>
  </si>
  <si>
    <t>2.1.2.</t>
  </si>
  <si>
    <t>Asesorias.</t>
  </si>
  <si>
    <t>Brindar apoyo a nuestros clientes internos en todas las áreas que abarca los procesos y procedimientos establecidos por la Empresa de Licores de Cundinamarca, con el fin de lograr el entendimiento pleno de los mismos.</t>
  </si>
  <si>
    <t>Asesorias brindadas/asesorias solicitadas.</t>
  </si>
  <si>
    <t>*Durante el mes de Enero se realizaron 22 mesas de trabajo en las cuales se actualizaron documentos de las diferentes dependencias de la Empresa. El indicador obtenido es del 100% lo que indica que a las solicitudes de asesorías se les dio respuesta oportuna.
*A enero de 2018 se efectuaron (22) veintidos mesas de trabajo de avance en lo que respecta a Indicadores de Gestión por Macro Procesos, esto con el fin de establecer los indices para cada una de las gestiones de la entidad y así de esta forma se da cumplimento a la Norma Técnica Colombia ISO 9001:2018, lo cual conlleva a obtener resultados con fines de toma de decisiones acertivas y oportunas.</t>
  </si>
  <si>
    <t>*Durante el mes de Febrero se realizaron 12 mesas de trabajo en las cuales se actualizaron documentos de las diferentes dependencias de la Empresa.  El indicador obtenido es del 90% lo que indica que a las solicitudes de asesorías se les dio respuesta, sin embargo algunos tiempos de respuesta no fueron los adecuados.
*En el mes de  febrero de 2018 se efectuaron (12) doce mesas de trabajo de avance en lo que respecta a Indicadores de Gestión por Macro Procesos, esto con el fin de establecer los indices para cada una de las gestiones de la entidad y así de esta forma se da cumplimento a la Norma Técnica Colombia ISO 9001:2018, lo cual conlleva a obtener resultados con fines de toma de decisiones acertivas y oportunas.
*Durante el mes de Febrero se realizaron 12 mesas de trabajo en las cuales se actualizaron documentos de las diferentes dependencias de la Empresa.  El indicador obtenido es del 90% lo que indica que a las solicitudes de asesorías se les dio respuesta, sin embargo algunos tiempos de respuesta no fueron los adecuados.
* Durante el periodo comprendido entre el 26 de enero al 26 de febrero se brindaron 11 asesorías de las cuales 1 fue relacionada con Caracterización correspondiente al Macroproceso de Sistema Integrado de Gestión. Las otras 10 asesorías fueron acompañamientos a  temas como lo son: Indicadores, riegos y documentos de las diferentes dependencias.</t>
  </si>
  <si>
    <t>*Durante el mes de Marzo se realizaron 21 mesas de trabajo en las cuales se actualizaron documentos de las diferentes dependencias de la Empresa. El indicador obtenido es del 100% lo que indica que a las solicitudes de asesorías se les dio respuesta oportuna.
*En el mes de marzo de 2018 se efectuaron (8) ocho mesas de trabajo de avance en lo que respecta a Indicadores de Gestión por Macro Procesos, obteniendo un avance de 19 puntos porcentuales, lo cual hace posible el debido cumplimiento de los objetivos trazados para el proyecto de implementación del sistema de gestión de calidad bajo la Norma Técnica Colombiana ISO 9001:2015.
**Durante el mes de Marzo se realizaron 21 mesas de trabajo en las cuales se actualizaron documentos de las diferentes dependencias de la Empresa. El indicador obtenido es del 100% lo que indica que a las solicitudes de asesorías se les dio respuesta oportuna.
*  Durante el periodo comprendido entre el 26 de febrero al 26 de marzo  se brindaron 19 asesorias de las cuales 11 corresponden a las Caracterizaciones de los Macroprocesos de Sistema Integrado de Gestión, Direccionamiento Estratégico, TIC, Gestión de Producción, Gestión Ambiental, Gestion Financiera, Control Interno Disciplinario, Gestión de Talento Humano, Control Interno y Gestión de Mantenimiento. Las 8 restantes corresponden a diferentes temas a las dependencias.</t>
  </si>
  <si>
    <t>En el mes de abril de 2018 se efectuaron (2) dos mesas de trabajo de avance en lo que respecta a Indicadores de Gestión por Macro Procesos, obteniendo avances objetivos, lo cual hace posible el debido cumplimiento de los objetivos trazados para el proyecto de implementación del sistema de gestión de calidad bajo la Norma Técnica Colombiana ISO 9001:2015.</t>
  </si>
  <si>
    <t xml:space="preserve">En el mes de mayo de 2018 se efectuaron (9) nueve mesas de trabajo de avance en lo que respecta a Indicadores de Gestión por Macro Procesos, obteniendo avances objetivos, lo cual hace posible el debido cumplimiento de los objetivos trazados para el proyecto de implementación del sistema de gestión de calidad bajo la Norma Técnica Colombiana ISO 9001:2015.
En el mes de mayo se llevaron a cabo 6 mesas de trabajo en las cuales se obtuvo un porcentaje de avance del 85% haciendo relación a 16 Caracterizaciones trabajadas de las cuales 8 ya se encuentran aprobadas.
Se realizaron 2 mesas fueron llevadas a cabo el 9 y 22 de mayo previas a las Competencias Calidosas.
Se realizó una visita a la planta de producción el día 3 de mayo para visualizar el funcionamiento de las máquinas para el planteamiento de los indicadores de gestión. 
Capacitaciones al personal operativo durante 8 días para la previa preparación con los temas a tratarse el día de las Competencias Calidosas.  
Sábado 26 de mayo ejecución Competencias Calidosas.
Mesa de trabajo en retroalimentación y Seguimiento Riesgos el día 11 de Mayo de 2018.
</t>
  </si>
  <si>
    <t xml:space="preserve">En el mes de junio de 2018 se efectuaron (9) nueve mesas de trabajo de avance en lo que respecta a Indicadores de Gestión por Macro Procesos, obteniendo avances objetivos, lo cual hace posible el debido cumplimiento de los objetivos trazados para el proyecto de implementación del sistema de gestión de calidad bajo la Norma Técnica Colombiana ISO 9001:2015.
En el mes de junio se llevaron a cabo 13 mesas de trabajo en las cuales se obtuvo un porcentaje de avance del 94% haciendo relación a 16 Caracterizaciones trabajadas de las cuales 15 ya se encuentran aprobadas.
El día 12 y 13 de junio se realiza socialización con todo el personal del Macroproceso Gestión Administrativa 
El día 18 y 19 de junio de 2018 se llevó a cabo la capacitación de los auditores interno previas a las auditorias interna de calidad.
Mesa de trabajo seguimiento Riesgos Macroproceso Comunicaciones Institucionales el día 20 de junio.
</t>
  </si>
  <si>
    <t xml:space="preserve">DOCUMENTACION:  Se realizaron cinco (5) mesas de trabajo
AUDITORIA INTERNA:  Dieciseis (16) Mesas de trabajo
</t>
  </si>
  <si>
    <t xml:space="preserve">DOCUMENTACION:  Se realizaron Diecisiete (17) mesas de trabajo
AUDITORIA EXTERNA FASE I:  Se realizaron cuatro (4) mesas de trabajo
</t>
  </si>
  <si>
    <t xml:space="preserve">DOCUMENTACION:  Se realizaron dieciseis (16) mesas de trabajo
AUDITORIA EXTERNA FASE I:  Dos (2) Mesas de trabajo con los Auditores/Equipo de calidad y Directivos.
</t>
  </si>
  <si>
    <t>2.2.</t>
  </si>
  <si>
    <t>Revisión y Seguimiento.</t>
  </si>
  <si>
    <t>2.2.1.</t>
  </si>
  <si>
    <t>Administrador del Riesgo.</t>
  </si>
  <si>
    <t xml:space="preserve"> En este mes quedo aprobado el Mapa de Riesgos en el formato MPE020300000.F02 del 24 de abril de 2018.
Y se solicito el reporte del monitoreo y seguimiento a los lideres de los procesos quienes deben hacerlo trimestralmente art. Decimo de la resolución 2014104000574-5, reportando solo 3 Macroprocesos.</t>
  </si>
  <si>
    <t>Se envió recordatorio del monitoreo y seguimiento de los riesgos evidenciando el reporte de 6 Macroprocesos. Este reporte con corte al 30 de marzo de 2018</t>
  </si>
  <si>
    <t>En este mes se recibieron los reportes del primer trimestre con corte al 30 de marzo de 2018 de las acciones realizadas para los riesgos identificados por 15 Macroprocesos evidenciado solo un Macroproceso pendiente (Comunicacionaes Institucionales)</t>
  </si>
  <si>
    <r>
      <t xml:space="preserve">Riesgos reportados=16 / 16 =100%
</t>
    </r>
    <r>
      <rPr>
        <sz val="12"/>
        <color theme="0" tint="-0.249977111117893"/>
        <rFont val="Arial"/>
        <family val="2"/>
      </rPr>
      <t>Reportes solicitados=  16 / 16 = 100%</t>
    </r>
  </si>
  <si>
    <t>Se recibió el reporte del Macroproceso Comunicaciones Institucionales correspondiente al primer trimestre de 2018.
El 13 de julio se solicito a través de correo electrónico a todas los líderes de los Macroprocesos el informe de seguimiento de las acciones realizadas en el II Trimestre.</t>
  </si>
  <si>
    <t xml:space="preserve"> Riesgos Reportados = 16/16 = 100%</t>
  </si>
  <si>
    <t xml:space="preserve">En este mes se recibieron los reportes del segundo trimestre con corte a 30 de junio de 2018 de las acciones realizadas para los riesgos identificados por 16 Macroprocesos </t>
  </si>
  <si>
    <t>PROCESOS MISIONALES.</t>
  </si>
  <si>
    <t>3.</t>
  </si>
  <si>
    <t>GESTION DE PRODUCCIÓN.</t>
  </si>
  <si>
    <t>3.1.</t>
  </si>
  <si>
    <t xml:space="preserve">Planificación de la producción </t>
  </si>
  <si>
    <t>3.1.1.</t>
  </si>
  <si>
    <t>Indice de Gestion del recurso humano.</t>
  </si>
  <si>
    <t>Determinar el grado de eficiencia con que se emplean el recurso humano en el Macro Proceso productivo.</t>
  </si>
  <si>
    <t>(Unidades producidas en el periodo / Recurso Humano empleado en el proceso productivo).</t>
  </si>
  <si>
    <t>Botellas / Hora-Hombre</t>
  </si>
  <si>
    <t>Subgerencia Técnica.</t>
  </si>
  <si>
    <t>Debido a una parada programada en la produccion se inicia nuevamente actividades el dia 19 de enero, lo que genero disminucion en la produccion por inconvenientes  en las maquinas. A si mismo la diminucion en la demanda es otro factor que influye en este indicador.                                         Otro factor que incide en la baja produccion es a causa del personal con  algunas  restricciones medicas, lo cual repercute en un rendimiento menor de las lineas al tener que trabajar a una velocidad menor.(Resultado obtenido 144 botellas - hombre).</t>
  </si>
  <si>
    <t>Durante el mes de febrero comienzan a llegar el personal temporal con el cual se puede trabajar a unas velocidades mas altas en las lineas de produccion, es importante resaltar que el personal temporal llego el dia 20 de Febrero con lo cual la mayor parte del mes no contamos con dicho personal (Resultado obtenido 349 botellas - hombre).</t>
  </si>
  <si>
    <t>En el mes de marzo observamos un incremento con respecto a los menes anteriores esto debido a que contamos con el personal temporal como fijo  completo durante todo el mes, lo que nos aseguro tener una mayor productividad al poder asignar de manera adecuada a los puestos de trabajo segun capacidades fisicas y conocimientos del puesto de trabajo.(Resultado obtenido 517 botellas - hombre).</t>
  </si>
  <si>
    <t>En el mes de Abril al igual que en el mes de Marzo contamos con la totalidad del personal temporal que con 1 mes de entrenamiento mejora su productividad al volverse mas experto en sus labores diarias aumentando en un 27,07 %.(Resultados Obtenidos 657 botellas-hombre).</t>
  </si>
  <si>
    <t>En el mes de Mayo se generan novedades en el personal temporal como ausencias e incapacidades que afectaron la productividad, y teniendo en cuenta la produccion del periodo se presenta una disminucion en sus resultados, se generan planes de mejora obtimizando tiempos muertos en la produccion y control del personal.(Resultados Obtenidos 544 botellas-hombre).</t>
  </si>
  <si>
    <t>En el mes de junio se presenta una disminución debido al sobre stock  en la bodega del producto terminado se opto por hacer una programación de producción que enfocara las líneas con la menos capacidad de producción.(Resultados Obtenidos 278 botellas-hombre).</t>
  </si>
  <si>
    <t>En el mes de Julio se presenta un aumento en las horas hombre con refencia al mes anterior, debido a ingreso de nuevo personal tempral y al seguimiento productivo en la planta de envasado.</t>
  </si>
  <si>
    <t>En el mes de Agosto se presenta un aumento en las horas hombre con refencia al mes anterior, ya que se conto con el personal completo en cada punto critico en el proceso de envasado, tambien disminuye el indicador de rotacion de personal en la planta de envasado.</t>
  </si>
  <si>
    <t>En el mes de Septiembre se presenta una disminución en las horas hombre con referencia al mes anterior, ya que no se conto con todo el personal en misión debido a mantenimiento de líneas y falta de insumos para la producción, y por esto se les realizo cancelación de contrato provisional.</t>
  </si>
  <si>
    <t>Aumento del 20% en productividad por cada periodo del año.</t>
  </si>
  <si>
    <t>3.2.</t>
  </si>
  <si>
    <t xml:space="preserve">Ejecucción de la producción. </t>
  </si>
  <si>
    <t>3.2.1.</t>
  </si>
  <si>
    <t>Paros Programados y No Programados en líneas de producción</t>
  </si>
  <si>
    <t>Controlar  la cantidad y el tiempo en el que las líneas productivas de la organización se encuentran inactivas para asi mismo medir su incidencia en los costos de la operación.</t>
  </si>
  <si>
    <t xml:space="preserve">(Horas de bloqueo por paradas programadas y/o no programadas en el periodo/ Capacidad disponible en horas en el periodo)*100
 </t>
  </si>
  <si>
    <t>En el mes de Enero el 38% del tiempo productivo correspondio a paradas tanto programadas como no programadas  esto como resultado del arranque nuevamente de las lineas de produccion luego de la parada por final de año y comienzo del año siguiente que tiene un efecto sobre el funcionamiento normal de la maquinaria lo cual nos repercute en un aunmento en el tiempo de las paradas.</t>
  </si>
  <si>
    <t>En el mes de Febrero tenemos una disminucion con respecto al mes anterior esto se debio a que se realizaron los ajustes necesarios en la maquinaria para evitar en la medida de lo posible paradas no programadas y con la llegada del personal temporal se contaba con el numero necesario de personas para realizar reemplazos en las horas de refigerio y almuerzo que nos evitaban tener tiempos de paradas por dichas causas.</t>
  </si>
  <si>
    <t>Durante este mes se observa que se tiene la disminucion de un punto porcentual en el tiempo de paradas, aunque se tiene un mayor numero de paradas estas tienen un tiempo menor que favorece a la productividad de la linea de produccion.</t>
  </si>
  <si>
    <t>Durante este mes se mantiene una tendencia de disminucion en el tiempo de las paradas, lo cual nos indica un mejoramiento tanto en el mantenimiento preventivo como en la progrmacion del personal de las lineas para evitar paros en los horarios de refrigerios- almuerzos y otros factores que puedan incidir.</t>
  </si>
  <si>
    <t>Durante este mes se identifica una tendencia de disminucion en el tiempo de las paradas minima, lo cual nos indica un mejoramiento tanto en el mantenimiento preventivo como en la programacion del personal de las lineas para evitar paros en los horarios y otros factores que puedan incidir en el proceso.</t>
  </si>
  <si>
    <t>Durante este mes se identifica una tendencia de aumento en el tiempo de las paradas en las lineas de produccion ya que en el plan de produccion se presentan cambios en la programacion y genero algunos picos en tiempos de paradas que generaron diferenciacion en su resultado, afectanto tambien otros factores que pudieron incidir en el proceso.</t>
  </si>
  <si>
    <t>Durante este mes se identifica una tendencia de aumento del tiempo inactivo de producción ya que en el plan de producción se presentan cambios para su ejecución, también la falta de insumos genero algunos picos en tiempos de paradas que generaron diferenciación en su resultado, afectando también otros factores que pudieron incidir en el proceso.</t>
  </si>
  <si>
    <t xml:space="preserve">Durante este mes los resultados son positivos, ya que los tiempos disminuyen y mejora la producción teniendo como soporte el plan de producción, sin embargo se presentan inconvenientes de falta de estibas en algunos días de producción generando afectación en los indicadores. </t>
  </si>
  <si>
    <t>Durante este mes se obtiene un 33%  en líneas inactivas, generando una tendencia creciente en cuanto al mes anterior, esto debido a mantenimientos programados y paros no programados por cambios en abastecimiento de insumos.</t>
  </si>
  <si>
    <t>3.2.2.</t>
  </si>
  <si>
    <t>Bajas en líneas de Producción</t>
  </si>
  <si>
    <t>Establecer la cantidad de bajas que se generan en cada línea de producción, con el fin de medir su incidencia en los costos de operación y en el desempeño del sistema productivo.</t>
  </si>
  <si>
    <t>(Número de bajas reportadas por línea de Producción ( Por insumo o materia prima)/ Número de unidades producidas por linea)*100. (Envasadero)</t>
  </si>
  <si>
    <t xml:space="preserve">Durante el mes de Enero observamos que todos los insumos excluyendo el envase tetrapak se encuentran dentro de la merma permitida por la empresa, en cuanto a la merma del envase de tetrapak esta es debido al arranque luego de estar con una parada prolongada que produce una gran cantidad de envases desperdiciados por ajustes en la maquina. * ETIQUETA= 0.22%
VIDRIO= 0.14%
TETRABRIK= 4.50%
CAJAS= 0.02%
TAPAS= 0.33%
COPA= 0.03%
SUBTAPA=0% </t>
  </si>
  <si>
    <t>En este mes observamos una disminucion en las bajas presentadas en la lineas de produccion, en el envase de tetrapak es donde se evidencia una mayor disminucion de estas bajas pasando de un 4,50% a un 0,97%.* ETIQUETA= 0.11%
VIDRIO= 0.14%
TETRABRIK= 0.97%
CAJAS= 0.02%
TAPAS= 0.22%
COPA= 0.01%
SUBTAPA=0%</t>
  </si>
  <si>
    <t>En el mes de marzo podemos analizar que se tienen nuevamente disminucion en las bajas de insumos como lo son el envase de tetrapak, envase de vidrio, y tapas se mantiene en el mismo porcentaje, se tiene un aumento en los insumos de etiqueta y copa. Se tomaron las medidas necesarias en los ajustes de la etiqueteadora y la copadora para mitigar el numero de bajas presentadas. * ETIQUETA= 0.14%
VIDRIO= 0.12%
TETRABRIK= 0.69%
CAJAS= 0.03%
TAPAS= 0.22%
COPA= 0.03%
SUBTAPA=0%</t>
  </si>
  <si>
    <t>En el mes de abril se logra una disminucion importante en las bajas de tapas presentadas en la linea, sin embargo las bajas de etiqueta aunmentan se toman acciones de mejora como lo son la evaluacion con nuevos pegantes para asegurar la mejor adhesion de las etiquetas a las botellas y  evitar el daño de las mismas durante el proceso. * ETIQUETA= 0.15%
VIDRIO= 0.12%
TETRABRIK= 0.86%
CAJAS= 0.02%
TAPAS= 0.15%
COPA= 0.03%
SUBTAPA=0%</t>
  </si>
  <si>
    <t>En el mes de mayo se logra una disminucion en las bajas presentadas en las lineas, sin embargo las bajas de tetrabrik aunmentan por fallas mecanicas en la linea de produccion, se toman acciones de mejora para disminuir el riesgo generando acompañamiento constante con el personal de mantenimiento industrial. * ETIQUETA= 0.11%
VIDRIO= 0.13%
TETRABRIK= 1,20%
CAJAS= 0.03%
TAPAS= 0.16%
COPA= 0.03%
SUBTAPA=0,0%</t>
  </si>
  <si>
    <t>En el mes de junio  se presenta un aumento en las bajas ya que se presentaron fallas mecanicas  afectando los insumos por lineas, sin embargo las bajas de tetrabrik es menor que los resultados del mes anterior;  se toman acciones de mejora con el area de mantenimiento, y evitar el daño de las mismas durante el proceso. * ETIQUETA= 0.19%
VIDRIO= 0.19%
TETRABRIK= 0,82%
CAJAS= 0.03%
TAPAS= 0.36%
COPA= 0.03%
SUBTAPA=0,11%</t>
  </si>
  <si>
    <t>En el mes de Julio  se presenta un aumento en las bajas ya que se presentaron inconvenientes con el molde del envase  afectando los insumos por lineas en general , sin embargo las bajas de tapa y copa es menor que los resultados del mes anterior;  se toman acciones de mejora con el area de mantenimiento, y evitar el daño de las mismas durante el proceso. * ETIQUETA= 0.24%
VIDRIO= 0.18%
TETRABRIK= 1,25%
CAJAS= 0.04%
TAPAS= 0.20%
COPA= 0.02%
SUBTAPA=0,0%</t>
  </si>
  <si>
    <t>En el mes de agosto se presenta una disminucion importante en las bajas ya que tomaron medidas preventivas y de proteccion al envase con particiones, y las bajas de tetrabrik es menor que los resultados del mes anterior;  se toman acciones de mejora con el area de mantenimiento, y evitar el daño de las mismas durante el proceso. * ETIQUETA= 0.8%
VIDRIO= 0.13%
TETRABRIK= 0,65%
CAJAS= 0.07%
TAPAS= 0.22%
COPA= 0.01%
SUBTAPA=0,00%</t>
  </si>
  <si>
    <t>En el mes de septiembre se aplicaron cambios en el plan de producción priorizando referencias en RON 375 ml- 250 ml, por lo mismo identificamos disminución porcentual en bajas en el proceso de producción.   * ETIQUETA= 0.04%
VIDRIO= 0.07%
TETRABRIK= 1,42%
CAJAS= 0.04%
TAPAS= 0.14%
COPA= 0.01%
SUBTAPA=0,00%</t>
  </si>
  <si>
    <t>HISTORICO</t>
  </si>
  <si>
    <t>3.2.4.</t>
  </si>
  <si>
    <t>Recicles.</t>
  </si>
  <si>
    <t xml:space="preserve">Determinar y controlar la cantidad de licor reciclado, con el fin de evidenciar su incidencia en los costos de la organización. </t>
  </si>
  <si>
    <t xml:space="preserve">(Volumen de licor reciclado en el periodo/Volumen fabricado en el periodo)*100. </t>
  </si>
  <si>
    <t>NO HUBO RECICLES EN EL PERIODO</t>
  </si>
  <si>
    <t xml:space="preserve">  Nectar Azul                                                                         =(Volumen de licor reciclado / Volumen Fabricado en el periodo )*100                                                                     =(4.611/ 35.656) *100 = 12,93 %  </t>
  </si>
  <si>
    <t>Durante este mes se presentaron 4,611 litros de recicle de nectar azul s/a equivalente al 12,93 % con respecto al total preparado de este licor, este licor se utilizara posteriormente en la elaboracion de un nuevo producto.</t>
  </si>
  <si>
    <t>Durante el periodo no se registran recicles de licor debido a que los licores envasados seguiran siendo envasados durantes los sigueintes periodos por ende no se hace necesario reciclar el licor.</t>
  </si>
  <si>
    <t>Durante este mes se presentaron para Nectar 5.450 litros de recicle, equivalente al 3,95 % y Nectar Club 750 litros de recicle, equivalente al 0,12%, con respecto al total preparado de cada licor, este licor se utilizara posteriormente en la elaboracion de un nuevo producto.
Nectar =(Volumen de licor reciclado / Volumen Fabricado en el periodo )*100  =(5.401/ 136.450) *100 = 3,95 %  Nectar Club=(Volumen de licor reciclado / Volumen Fabricado en el periodo )*100  =(750/591.636)*100= 0,12%</t>
  </si>
  <si>
    <t>Durante este mes se presentaron para Nectar club 380  litros de recicle, equivalente al 0,04 %  con respecto al total preparado de cada licor, este licor se utilizara posteriormente en la elaboracion de un nuevo producto.</t>
  </si>
  <si>
    <t>Durante este mes se presentaron para Nectar 220  litros de recicle, equivalente al 0,18%  con respecto al total preparado de cada licor, este licor se utilizara posteriormente en la elaboracion de un nuevo producto.</t>
  </si>
  <si>
    <t>MENOR AL 10%</t>
  </si>
  <si>
    <t xml:space="preserve">Ejecución de la producción. </t>
  </si>
  <si>
    <t>3.2.5.</t>
  </si>
  <si>
    <t>Producción de Aguardientes y Rones por presentaciòn para Cundinamarca.</t>
  </si>
  <si>
    <t>Ejecutar y controlar el programa de producción de aguardientes y rones para el departamento de Cundinamarca.</t>
  </si>
  <si>
    <t>(Unidades reales producidas / unidades presupuestadas)*100.</t>
  </si>
  <si>
    <t xml:space="preserve">Durante el mes de enero podemos analizar que respecto a lo planeado se logro cumplir con un 93 % esto debido  a los problemas presentados durante los arranques de linea que impactaron en la productividad de las lineas de produccion </t>
  </si>
  <si>
    <t>UND. REALES/ UND.PROYECTADAS=1.776.174/1.893.910=94%</t>
  </si>
  <si>
    <t>Podemos observar que con respecto al mes anterior se tiene un aumento del 1% en el cumplimiento de la planeacion de la produccion logrando un 94 % de cumplimiento contra lo planeado, no se logra el 100% debido a  factores propios al proceso productivo</t>
  </si>
  <si>
    <t>UND. REALES/ UND.PROYECTADAS=2607576/2887603=90%</t>
  </si>
  <si>
    <t xml:space="preserve">En el mes de marzo se tiene una disminucion en cuanto al cumplimiento de la programacion  de produccion, esto debido a los dias otrogados por la gerencia para la semana santa en los cuales no se tuvo produccion y esto disminuye el cumplimiento contra lo planeado </t>
  </si>
  <si>
    <t>Durante este mes encontramos una disminucion en comparacion de los meses anterioes pero esto se debe a una priorizacion de las referencias de otros departamentos.</t>
  </si>
  <si>
    <t xml:space="preserve">Durante este mes encontramos una disminucion en comparacion de los meses anterioes pero esto se debe a novedades en el cambio del plan de produccion y stock en producto terminado </t>
  </si>
  <si>
    <t>En el mes de junio encontramos que tenemos un cumplimiento por encima del 100% llegando a un 102% esto debido a una priorizacion de las referencias de cundinamarca.</t>
  </si>
  <si>
    <t>En el mes de julio encontramos que tenemos un cumplimiento del 93% de acuerdo al plan de producción; esto debido a cumplimiento de metas al plan de ventas según referencias solicitadas para Cundinamarca.</t>
  </si>
  <si>
    <t xml:space="preserve">En el mes de Agosto encontramos que tenemos un cumplimiento del 41% desto debido un sobre stok en producto terminado y retorno minimo de estibas de parte de REPCO, de acuerdo a estas novedades la produccion se inclino a referencias con cantidades minimas. </t>
  </si>
  <si>
    <t xml:space="preserve">En el mes de Septiembre tenemos un cumplimiento del 104% sobre la producción real y lo proyectado para este periodo, esto debido a la ejecución del plan de producción en referencias de RON 375 – 250 – 1000. </t>
  </si>
  <si>
    <t>MAYOR AL 90%</t>
  </si>
  <si>
    <t>3.2.6.</t>
  </si>
  <si>
    <t>Producción de aguardientes y rones por presentaciòn para otros departamentos y las fronteras Colombianas.</t>
  </si>
  <si>
    <t>Ejecutar y controlar el programa de producción de aguardientes y rones para otros departamentos.</t>
  </si>
  <si>
    <t>Unidades reales  producidas/ unidades presupuestadas.</t>
  </si>
  <si>
    <t>UND. REALES/ UND.PROYECTADAS=132864/222704=60%</t>
  </si>
  <si>
    <t>En el mes de enero se presenta un cumplimiento del 60% con respecto a lo planificado debido a problemas en los arranques de linea.</t>
  </si>
  <si>
    <t>UND. REALES/ UND.PROYECTADAS=180288/249040=72%</t>
  </si>
  <si>
    <t>En febrero tenemos un aumento con respecto al mes anterior al tener las maquinas mas ajustadas, es importante resaltar que se prioriza las referencias de cundinamarca durante este mes.</t>
  </si>
  <si>
    <t>UND. REALES/ UND.PROYECTADAS=149508/361902=41%</t>
  </si>
  <si>
    <t>Al igual que las referencias de cundinamarca durante este mes se tiene una disminucion en el porcentaje de cumplimiento de la planeacion por los dias otorgados por la gerencia para la semana santa.</t>
  </si>
  <si>
    <t>En el mes de Abril encontramos que tenemos un cumplimiento por encima del 100% llegando a un 139% esto debido a una priorizacion de las referencias de otros departamentos.</t>
  </si>
  <si>
    <t>En el mes de junio encontramos que tenemos un cumplimiento por encima del 100% llegando a un 112% esto debido a una priorizacion de las referencias de otros departamentos.</t>
  </si>
  <si>
    <t>En el mes de julio no hubo produccion ya que se aplicaron cambios en el plan de produccion generando prioridad a referencias de cundinamarca.</t>
  </si>
  <si>
    <t xml:space="preserve">En el mes de Agosto encontramos que tenemos un cumplimiento del 2%, esto debido a la prioridad de producción a las referencias con destino a Cundinamarca teniendo en cuenta el consumo de estibas y el sobre stok en producto terminado. </t>
  </si>
  <si>
    <t xml:space="preserve">En el mes de Septiembre tenemos un cumplimiento del 94% sobre la producción real y lo proyectado para este periodo, esto debido a la ejecución del plan de producción en referencias de RON 375 – 250 – 1000. </t>
  </si>
  <si>
    <t>3.2.7.</t>
  </si>
  <si>
    <t>Producción de aguardientes y rones por presentaciòn para el exterior.</t>
  </si>
  <si>
    <t>Ejecutar y controlar el programa de producción de aguardientes y rones para el exterior.</t>
  </si>
  <si>
    <t>Durante este mes no se tuvieron pedidos para el exterior por lo cual no se fabrico</t>
  </si>
  <si>
    <t>4.</t>
  </si>
  <si>
    <t>GESTIÓN COMERCIAL.</t>
  </si>
  <si>
    <t>4.1.</t>
  </si>
  <si>
    <t xml:space="preserve">Planeación comercial. </t>
  </si>
  <si>
    <t>4.1.1</t>
  </si>
  <si>
    <t xml:space="preserve">Índice de costos y/o gastos para la dependencia Comercial. </t>
  </si>
  <si>
    <t>Determinar la concentracion de los costos / gastos incurridos en la Subgerencia Comercial.</t>
  </si>
  <si>
    <t>(Costos y/o gastos totales incurridos por la Subgerencia Comercial  / Costos y/o gastos totales incurridos por la ELC)*100.</t>
  </si>
  <si>
    <t>Subgerencia Comercial.</t>
  </si>
  <si>
    <t>El 35,79% del total de los gastos incurridos por la Empresa de Licores de Cundinamarca en el mes de enero de 2018 corresponden a costos y gastos generados por parte de la Subgerencia Comercial, aclarando que el 20% de este corresponde a los costos de control de calidad del producto asi aplicados por el area financiera.</t>
  </si>
  <si>
    <t>El 24,79% del total de los gastos incurridos por la Empresa de Licores de Cundinamarca en el mes de enero de 2018 corresponden a costos y gastos generados por parte de la Subgerencia Comercial, aclarando que el 89% de este corresponde al costo de ventas y un 4% adicional por los costos de control de calidad del producto, asi aplicados por el area financiera.</t>
  </si>
  <si>
    <t>El 11,09% del total de los gastos incurridos por la Empresa de Licores de Cundinamarca en el mes de enero de 2018 corresponden a costos y gastos generados por parte de la Subgerencia Comercial, aclarando que el 81% de este corresponde al costo de ventas y un 9% adicional por los costos de control de calidad del producto, asi aplicados por el area financiera.</t>
  </si>
  <si>
    <t>De acuerdo con los resultados notificados por la Gestión Financiera de la entidad para el periodo de abril, se evidencia una participación relevante del 31,45%, frente a la totalidad de los costos de la entidad, esto debido a gestión de propaganda y publicidad necesaria para informar, persuadir y recordar, objetivos claves en la operación comercial de la Empresa de Licores de Cundinamarca.</t>
  </si>
  <si>
    <t>De acuerdo con los resultados notificados por la Gestión Financiera de la entidad para el periodo de abril, se evidencia una participación relevante del 42,83%, frente a la totalidad de los costos de la entidad, esto debido a gestión de propaganda y publicidad necesaria para informar, persuadir y recordar, objetivos claves en la operación comercial de la Empresa de Licores de Cundinamarca.</t>
  </si>
  <si>
    <t>De acuerdo con los resultados obtenidos y notificados por la Gestión Financiera de la entidad, se evidencia disminución significativa frente a los periodos de abril y mayo del presente año, esto se debe a reducción en gastos por publicidad y propagando por $222.295.655 (cifra expresada en millones de pesos colombianos),</t>
  </si>
  <si>
    <t xml:space="preserve">Historico. </t>
  </si>
  <si>
    <t>4.3.</t>
  </si>
  <si>
    <t>Mercadeo y Publicidad.</t>
  </si>
  <si>
    <t>4.3.1</t>
  </si>
  <si>
    <t>Variación en ventas por inversión en publicidad.</t>
  </si>
  <si>
    <t>Observar los ingresos generados en el periodo por la Empresa de Licores de Cundinamarca, con respecto a la inversión anual que la entidad definio por concepto de publicidad, esto con el fin de validar si el grado de eficiencia de los recursos es proporcial o mayor frente a la inversión.</t>
  </si>
  <si>
    <t>Anual.</t>
  </si>
  <si>
    <t>Durante el mes de enero de 2018 la Empresa de Licores de Cundinamarca no realizó ninguna inversion en temas de mercadeo y publicidad dentro de la estrategia de rotacion de inventarios.</t>
  </si>
  <si>
    <t>La Empresa de Licores de Cundinamarca en el mes de febrero invirtió tan solo una cifra cercana al 1% de los ingresos generados por ventas para el desarrollo de las estrategias de mercadeo y publicidad, esta cifra reducida obedece a la aplicación de los criterios de compras y contratacion determinados en la ley de garantias.</t>
  </si>
  <si>
    <t>La Empresa de Licores de Cundinamarca en el mes de marzo asigno recursos tan solo por una cifra cercana al 6% de los ingresos generados por ventas en el mismo periodo, para el desarrollo de las estrategias de mercadeo y publicidad, esta cifra reducida obedece a la aplicación de los criterios de compras y contratacion determinados en la ley de garantias.</t>
  </si>
  <si>
    <t>La Empresa de Licores de Cundinamarca en el mes de abril asigno recursos tan solo por una cifra cercana al 9% de los ingresos generados por ventas en el mismo periodo, para el desarrollo de las estrategias de mercadeo y publicidad, esta cifra reducida obedece a la aplicación de los criterios de compras y contratacion determinados en la ley de garantias.</t>
  </si>
  <si>
    <t>La Empresa de Licores de Cundinamarca en el mes de mayo asigno recursos tan solo por una cifra cercana al 2% de los ingresos generados por ventas en el mismo periodo, para el desarrollo de las estrategias de mercadeo y publicidad, esta cifra reducida obedece a la aplicación de los criterios de compras y contratacion determinados en la ley de garantias.</t>
  </si>
  <si>
    <t>La Empresa de Licores de Cundinamarca en el mes de junio asigno recursos tan solo por una cifra cercana al 3% de los ingresos generados por ventas en el mismo periodo, para el desarrollo de las estrategias de mercadeo y publicidad, esta cifra reducida obedece a la aplicación de los criterios de compras y contratacion determinados en la ley de garantias.</t>
  </si>
  <si>
    <t>La utilidad bruta en ventas debe ser por lo menos el 30% del total del presupuesto de la vigencia.</t>
  </si>
  <si>
    <t>4.4.</t>
  </si>
  <si>
    <t xml:space="preserve">Ventas y Distribucción. </t>
  </si>
  <si>
    <t>4.4.1</t>
  </si>
  <si>
    <t>Seguimiento Plan anual de ventas.</t>
  </si>
  <si>
    <t>Medir el nivel de cumplimiento en las ventas de licores según el plan anual de ventas, esto con el fin de establecer nuevas metas y por ende generar mayor posicionamiento en el mercado; así mismo originar un crecimiento sustancial a nivel financiero de acuerdo con la misión de la entidad.</t>
  </si>
  <si>
    <t>Unidades 750ml.</t>
  </si>
  <si>
    <t>n/a</t>
  </si>
  <si>
    <t>Por una estrategia de evaluacion de las condiciones de precios en el mercado no se realizaron ventas durante el mes de enero de 2018.</t>
  </si>
  <si>
    <t>En ejecucion de la estrategia de evaluacion de las condiciones de precios en el mercado que no permitieron ventas durante el mes de enero de 2018, para el mes de febrero algunos de los distribuidores realizaron la compra del mes y una parte de lo pendiente del mes de enero, de acuerdo con su nivel de inventarios y esto represento el 194% de lo programado para el mes de febrero.</t>
  </si>
  <si>
    <t>Para el mes de marzo los distribuidores en conjunto realizaron la compra en condiciones de contraccion en el mercado por stocks elevados  y esto represento solo el 67% de lo programado para el mes.</t>
  </si>
  <si>
    <t>Para el mes de abril los distribuidores en conjunto realizaron la compra en condiciones de contraccion en el mercado por stocks elevados, el cumplimiento de la cuota contractual de cundinamarca empujo la venta  y esto represento el 90% de lo programado para el mes.</t>
  </si>
  <si>
    <t>Para el mes de mayo los distribuidores en conjunto realizaron la compra en condiciones de contraccion en el mercado por stocks elevados, el cumplimiento de la cuota contractual de cundinamarca mejoro un poco el cumplimineto de la meta  y esto represento el 86% de lo programado para el mes.</t>
  </si>
  <si>
    <t>Para el mes de junio los distribuidores en conjunto realizaron la compra en condiciones de contraccion en el mercado por stocks elevados, el cumplimiento de la cuota contractual de cundinamarca mejoro un poco el cumplimineto de la meta  y esto represento solo el 77% de lo programado para el mes.</t>
  </si>
  <si>
    <t>4.4.2</t>
  </si>
  <si>
    <t>Indice de cumplimiento de las Ventas Cund/Bgta.</t>
  </si>
  <si>
    <t>Medir el nivel de cumplimiento en las ventas de licores en el departamento de Cundinamarca, esto con el fin de establecer si efectivamente se está dando debida ejecución al Plan Anual de ventas para el departamento.</t>
  </si>
  <si>
    <t>En ejecucion de la estrategia de evaluacion de las condiciones de precios en el mercado que no permitieron ventas durante el mes de enero de 2018, para el mes de febrero el distribuidor realizó la compra del mes y lo pendiente del mes de enero, esto represento el 220% de lo programado para el mes de febrero y el 106% de lo programado para el bimestre.</t>
  </si>
  <si>
    <t>Para el mes de marzo el distribuidor realizó la compra del mes, esto represento solo el 74% de lo programado para el mes de marzo que tenia una espectativa de crecimiento por la temporada de semana santa que no se cumplió.</t>
  </si>
  <si>
    <t>Para el mes de abril el distribuidor realizó la compra del mes, esto represento el 100% de lo programado.</t>
  </si>
  <si>
    <t>Para el mes de mayo el distribuidor realizó la compra del mes establecida en lsa condiciones del contrato, esto represento el 95% de lo programado.</t>
  </si>
  <si>
    <t>Para el mes de junio el distribuidor realizó la compra del mes establecida en las condiciones del contrato, esto represento el 87% de lo programado.</t>
  </si>
  <si>
    <t>4.4.3</t>
  </si>
  <si>
    <t>Indice de cumplimiento de las Ventas Otros Departamentos.</t>
  </si>
  <si>
    <t>Medir el nivel de cumplimiento en las ventas de licores en otros departamentos, esto con el fin de establecer si efectivamente se está dando debida ejecución al Plan Anual de ventas a nivel nacional.</t>
  </si>
  <si>
    <t>En ejecucion de la estrategia de evaluacion de las condiciones de precios en el mercado que no permitieron ventas durante el mes de enero de 2018, para el mes de febrero algunos de los distribuidores realizaron la compra del mes de manera limitada de acuerdo con su nivel de inventarios y esto represento el 36% de lo programado para el mes de febrero.</t>
  </si>
  <si>
    <t>Para el mes de Marzo algunos de los distribuidores realizaron la compra del mes de manera limitada de acuerdo con su nivel de inventarios y dificultades aun persistentes en el mercado, esto represento solo el 30% de lo programado para el mes.</t>
  </si>
  <si>
    <t>Para el mes de abril algunos de los distribuidores realizaron la compra del mes de manera limitada de acuerdo con su nivel de inventarios y dificultades aun persistentes en el mercado, esto represento solo el 34% de lo programado para el mes.</t>
  </si>
  <si>
    <t>Para el mes de mayo algunos de los distribuidores realizaron la compra del mes de manera limitada de acuerdo con su nivel de inventarios y dificultades aun persistentes en el mercado, esto represento solo el 50% de lo programado para el mes.</t>
  </si>
  <si>
    <t>Para el mes de mayo algunos de los distribuidores realizaron la compra del mes de manera limitada de acuerdo con su nivel de inventarios y dificultades aun persistentes en el mercado, esto represento solo el 71% de lo programado para el mes.</t>
  </si>
  <si>
    <t>4.4.4</t>
  </si>
  <si>
    <t>Indice de cumplimiento de las Ventas Exterior.</t>
  </si>
  <si>
    <t>Medir el nivel de cumplimiento en las ventas de licores en el exterior, esto con el fin de establecer si efectivamente se está dando debida ejecución al Plan Anual de ventas para el exterior.</t>
  </si>
  <si>
    <t>En cumplimiento de la operación comercial con clientes en exterior en este caso para ocupar canales de duty free en terminales aereos internacionales se cumplio solo con el 44% de lo programado, debido a inconvenientes logisticos en el transito de mercancias por el puerto de salida que originaron una segmentacion en el pedido original.</t>
  </si>
  <si>
    <t>No se efectuaron ventas al exterior. El cliente que tenia programado el retiro de la mercancia manifiesta dificultades en la logistica del puerto de salida como situacion de afectacion externa y directa sobre la operación.</t>
  </si>
  <si>
    <t>4.4.5</t>
  </si>
  <si>
    <t>Índice de cumplimiento en ventas de alcohol.</t>
  </si>
  <si>
    <t>Medir el nivel de cumplimiento en las ventas de alcohol en el departamento de Cundinamarca, esto con el fin de establecer si efectivamente se está dando debida ejecución al Plan Anual de ventas para el departamento.</t>
  </si>
  <si>
    <t>Litros.</t>
  </si>
  <si>
    <t>En ejecucion del plan comercial se logro la venta del 76% de la unidades programadas, el no cumplimiento del 100% obedecio a temas de inicio de operaciones de algunos clientes principalmente los fabricantes de licores que aprovecham este mes para desarrollar procesos de mantenimiento y adecuaciones tecnicas en produccion.</t>
  </si>
  <si>
    <t>En ejecucion del plan comercial se logro la venta del 104% de la unidades programadas, ya en un inicio normal de operaciones de algunos clientes principalmente los fabricantes de licores.</t>
  </si>
  <si>
    <t>En ejecucion del plan comercial se logro la venta de solo 35% de la unidades programadas, esto debido a que las operaciones de algunos clientes principalmente los fabricantes de licores se vieron incrementadas para cubrir la demanda de productos para la epoca vacacional de semana santa, tiempo que tambien afecta por la no operacion en la Empresa de Licores de Cundinamarca.</t>
  </si>
  <si>
    <t>En ejecucion del plan comercial se logro la venta de solo 70% de la unidades programadas, esto debido a que las operaciones de algunos clientes principalmente los fabricantes de licores se vieron disminuidas por la epoca  posterior a semana santa..</t>
  </si>
  <si>
    <t>En ejecucion del plan comercial se logro la venta del 124% de la unidades programadas,en un ejercicio normal de operaciones de algunos clientes principalmente los fabricantes de licores.</t>
  </si>
  <si>
    <t>En ejecucion del plan comercial se logro la venta de solo 42% de la unidades programadas, esto debido a inconveninetes tecnicos en el soporte a las operaciones de la ELC principalmente en temas de comunicaciones que exige el proceso de facturacion y registro ante rentas.</t>
  </si>
  <si>
    <t>PROCESOS DE APOYO.</t>
  </si>
  <si>
    <t>5.</t>
  </si>
  <si>
    <t>GESTIÓN FINANCIERA.</t>
  </si>
  <si>
    <t>5.1.</t>
  </si>
  <si>
    <t>Presupuesto.</t>
  </si>
  <si>
    <t>5.1.1.</t>
  </si>
  <si>
    <t>Índice de costos / gastos para la Subgerencia Financiera.</t>
  </si>
  <si>
    <t>Determinar el grado de eficiencia con que se emplean los recursos (costos / gastos incurridos en la Subgerencia Financiera).</t>
  </si>
  <si>
    <t>(Costos y/o gastos totales incurridos por la Subgerencia Financiera  / Costos y/o gastos totales incurridos por la ELC)*100.</t>
  </si>
  <si>
    <t>Subgerencia Financiera.</t>
  </si>
  <si>
    <t>Trimestral</t>
  </si>
  <si>
    <t>La Subgerencia lleva ejecutado el 24% del presupuesto asignado, se destaca que en este centro gestor se registra la transferencia de utilidades al Departamento de Cundinamarca, recursos para el pago de impuestos de la Elc, recursos retorno publicitario que se transfieren a la Unidad de Pensiones, recursos para cuota de auditaje, recursos para afiliaciones y recursos para gastos de caja menor de la Compañía, entre otros.</t>
  </si>
  <si>
    <t>Frente a los resultados obtenidos y notificados por la Gestión Financiera de la entidad, se visualiza participación irrelevante de 6,10%, frente a la totalidad de los costos y/o gastos incurridos por la Empresa de Licores de Cundinamarca, lo cual no tendria insidencia en la toma de decisiones de la entidad.</t>
  </si>
  <si>
    <t>Frente a los resultados obtenidos y notificados por la Gestión Financiera de la entidad, se visualiza participación irrelevante de 9,58%, frente a la totalidad de los costos y/o gastos incurridos por la Empresa de Licores de Cundinamarca, lo cual no tendria insidencia en la toma de decisiones de la entidad.</t>
  </si>
  <si>
    <t xml:space="preserve">Frente a los resultados obtenidos y notificados por la Gestión Financiera de la entidad, se visualiza aumento de participación de 78,21%, frente a la totalidad de los costos y/o gastos incurridos por la Empresa de Licores de Cundinamarca, lo cual es  esto debido a cumplimiento de obligaciones tributarias ante la Dirección de Impuestos y Aduanas Nacionales del país.
</t>
  </si>
  <si>
    <t>5.1.2.</t>
  </si>
  <si>
    <t>Cumplimiento Ejecuciòn Presupuestal de Ingresos</t>
  </si>
  <si>
    <t>Medir el porcentaje de cumplimiento de los ingresos presupuestados, en términos de reconocimientos acumulados, conforme a los ingresos definitivos apropiados.</t>
  </si>
  <si>
    <t>Reconocimientos Acumulados / Ingresos Apropiados</t>
  </si>
  <si>
    <t>Indicador positivo porque los ingresos apropiados son superiores a los compromisos, los compromisos apenas son el 28.7% de los ingresos</t>
  </si>
  <si>
    <t>Indicador positivo porque los reconocimientos acumulados van al 53,56% y de forma lineal deberían ir al 50%</t>
  </si>
  <si>
    <t>&gt;= 100%</t>
  </si>
  <si>
    <t>5.1.3.</t>
  </si>
  <si>
    <t>Comportamiento de Compromisos Adquiridos Vs Reconocimientos.</t>
  </si>
  <si>
    <t>Medir el comportamiento de los compromisos adquiridos versus los reconocimientos acumulados</t>
  </si>
  <si>
    <t>Compromisos Adquiridos / Reconocimientos Acumulados</t>
  </si>
  <si>
    <t>Indicador positivo por cuanto los compromisos solo respresentan el 52.4% de los reconocimientos acumulados (ingresos)</t>
  </si>
  <si>
    <t>Indicador positivo por cuanto los compromisos respresentan el 62,73% de los reconocimientos acumulados (ingresos)</t>
  </si>
  <si>
    <t>&lt;= 80%</t>
  </si>
  <si>
    <t>5.1.4.</t>
  </si>
  <si>
    <t>Cumplimiento Ejecuciòn Presupuestal de Gastos.</t>
  </si>
  <si>
    <t>Medir el porcentaje de cumplimiento de ejecución presupuestal de gastos, frente al presupuesto definitivo apropiado</t>
  </si>
  <si>
    <t>Compromisos Acumulados / Presupuesto Definitivo de Gastos Apropiado</t>
  </si>
  <si>
    <t>Indicador positivo porque los compromisos apenas representan el 15% del prespuesto total</t>
  </si>
  <si>
    <t>indicador desviado dado que linealmente se debería llevar una ejecución del 50%</t>
  </si>
  <si>
    <t>&lt;= 81%</t>
  </si>
  <si>
    <t>5.2.</t>
  </si>
  <si>
    <t>Tesorería.</t>
  </si>
  <si>
    <t>5.2.1.</t>
  </si>
  <si>
    <t>Razón Corriente.</t>
  </si>
  <si>
    <t>Indicar la capacidad que tiene la empresa para cumplir con sus obligaciones a corto plazo</t>
  </si>
  <si>
    <t>Liquidez</t>
  </si>
  <si>
    <t xml:space="preserve"> Activo Corriente / Pasivo Corriente.</t>
  </si>
  <si>
    <t>Pesos</t>
  </si>
  <si>
    <t>Mensual</t>
  </si>
  <si>
    <t>Indicador positivo que siginifica que por cada peso que se debe, se tienen 3.4 para cubrirlo</t>
  </si>
  <si>
    <t>Indicador positivo que siginifica que por cada peso que se debe, se tienen 2.9 para cubrirlo</t>
  </si>
  <si>
    <t>Indicador positivo que siginifica que por cada peso que se debe, se tienen 3.3 para cubrirlo</t>
  </si>
  <si>
    <t>Indicador positivo que significa que por cada peso que se debe, se tienen 3,4 pesos para cubrirlo</t>
  </si>
  <si>
    <t>Indicador positivo que significa que por cada peso que se debe, se tienen 4,7 pesos para cubrirlo</t>
  </si>
  <si>
    <t>Indicador positivo que significa que por cada peso que e debe se tiene 5,5 pesos para cubrirlo</t>
  </si>
  <si>
    <t>&gt; 2</t>
  </si>
  <si>
    <t>.</t>
  </si>
  <si>
    <t>5.2.2.</t>
  </si>
  <si>
    <t>Capital Neto de Trabajo.</t>
  </si>
  <si>
    <t>Mostrar el valor que le queda a la Empresa despues de pagar sus pasivos de corto plazo, permitiendo la toma de decisiones de inversiòn temporal</t>
  </si>
  <si>
    <t>Activo Corriente - Inventarios / Pasivo Corriente.</t>
  </si>
  <si>
    <t>Indicador positivo que siginifica que por cada peso que se debe, se tienen 2.2 para cubrirlo, sin realizar los inventarios</t>
  </si>
  <si>
    <t>Indicador positivo que siginifica que por cada peso que se debe, se tienen 2.4 para cubrirlo, sin realizar los inventarios</t>
  </si>
  <si>
    <t>Indicador positivo que significa que por cada peso que se debe, se tienen 2,4 pesos para cubrirlo sin tener en cuenta la realización del inventario.</t>
  </si>
  <si>
    <t>Indicador positivo que significa que por cada peso que se debe, se tienen 3,4 pesos para cubrirlo sin tener en cuenta la realización del inventario.</t>
  </si>
  <si>
    <t>Indicador positivo que significa que por cada peso que se debe, se tienen 3,9 pesos para cubrirlo sin tener en cuenta la realización del inventario.</t>
  </si>
  <si>
    <t>&gt; 1.5</t>
  </si>
  <si>
    <t>5.2.3.</t>
  </si>
  <si>
    <t xml:space="preserve">Autonomia. </t>
  </si>
  <si>
    <t>Medir el grado de compromiso del patrimonio de la Empresa de Licores de Cundinamarca, con respecto al de los acreedores.</t>
  </si>
  <si>
    <t>Endeudamiento</t>
  </si>
  <si>
    <t>Pasivo Total /Patrimonio</t>
  </si>
  <si>
    <t>Porcentaje</t>
  </si>
  <si>
    <t>El 210% del patrimonio está comprometido con terceros</t>
  </si>
  <si>
    <t>El 204% del patrimonio está comprometido con terceros</t>
  </si>
  <si>
    <t>El 192% del patrimonio está comprometido con terceros</t>
  </si>
  <si>
    <t>El 188% del patrimonio está comprometido con terceros, lo que indica que la empresa tiene más deudas que recursos propios para atenderlos</t>
  </si>
  <si>
    <t>El 169% del patrimonio está comprometido con terceros, lo que indica que la empresa tiene más deudas que recursos propios para atenderlos</t>
  </si>
  <si>
    <t>El 165% del patrimonio está comprometido con terceros, lo que indica que la empresa tiene más deudas que recursos propios para atenderlos</t>
  </si>
  <si>
    <t>&lt; 220%</t>
  </si>
  <si>
    <t>5.2.4.</t>
  </si>
  <si>
    <t>Por cada peso invertido en activos, cuanto esta financiado por terceros</t>
  </si>
  <si>
    <t>Pasivo Total / Activo Total</t>
  </si>
  <si>
    <t>El 68% de los activos está financiado por terceros</t>
  </si>
  <si>
    <t>El 67% de los activos está financiado por terceros</t>
  </si>
  <si>
    <t>El 66% de los activos está financiado por terceros</t>
  </si>
  <si>
    <t>Del total de activos el 65% esta financiado por terceros</t>
  </si>
  <si>
    <t>Del total de activos el 63% esta financiado por terceros</t>
  </si>
  <si>
    <t>Del total de activos el 62% esta financiado por terceros</t>
  </si>
  <si>
    <t>&lt;= 70%</t>
  </si>
  <si>
    <t>5.3.</t>
  </si>
  <si>
    <t>Gestión de costos.</t>
  </si>
  <si>
    <t>5.3.1.</t>
  </si>
  <si>
    <t>Rotación de inventarios.</t>
  </si>
  <si>
    <t>Mostrar las veces que los costos en inventarios de Producto Terminado, se convierten en efectivo o se colocan a crédito.</t>
  </si>
  <si>
    <t xml:space="preserve">Costo de Mercancias Vendidas / Inventario Promedio </t>
  </si>
  <si>
    <t>Veces</t>
  </si>
  <si>
    <t xml:space="preserve">Mensual. </t>
  </si>
  <si>
    <t>Los inventarios rotan muy poco en la compañía, no alcanzan a rotar 1 vez en este periodo.</t>
  </si>
  <si>
    <t>Los inventarios rotaron 1,05 veces para el periodo</t>
  </si>
  <si>
    <t>Los inventarios rotaron 1,21 veces para el periodo</t>
  </si>
  <si>
    <t>Los inventarios rotaron 1,43 veces para el periodo</t>
  </si>
  <si>
    <t>&gt;= 5</t>
  </si>
  <si>
    <t>5.3.2.</t>
  </si>
  <si>
    <t xml:space="preserve">Inventarios en existencia. </t>
  </si>
  <si>
    <t>Medir el número de dìas de inventarios de Producto Terminado disponibles para la venta.</t>
  </si>
  <si>
    <t>Inventario Promedio * 365 / Costo de Mercancías Vendidas</t>
  </si>
  <si>
    <t>Numero de días</t>
  </si>
  <si>
    <t>Tenemos demasiado inventario, alcanza para 228.815 días</t>
  </si>
  <si>
    <t>Tenemos demasiado inventario, alcanza para 2.821 días</t>
  </si>
  <si>
    <t>Tenemos demasiado inventario, alcanza para 1.959 días</t>
  </si>
  <si>
    <t>La empresa tiene inventarios para atender sus requerimientos de comercialización durante 115 días</t>
  </si>
  <si>
    <t>La empresa tiene inventarios para atender sus requerimientos de comercialización durante 124 días</t>
  </si>
  <si>
    <t>La empresa tiene inventarios para atender sus requerimientos de comercialización durante 126 días</t>
  </si>
  <si>
    <t>&lt;= 65</t>
  </si>
  <si>
    <t>5.3.3.</t>
  </si>
  <si>
    <t xml:space="preserve">Productividad Total. </t>
  </si>
  <si>
    <t xml:space="preserve">Medir la eficiencia en el uso de los insumos (materiales y materias primas) en el proceso de producción. </t>
  </si>
  <si>
    <t>Bienes producidos en el período / Insumos utilizados en el proceso productivo</t>
  </si>
  <si>
    <t>Los insumos utulizados representan $1.590 por cada unidad producida</t>
  </si>
  <si>
    <t>Productividad positiva, por cada peso del costo de producción se generan $3,6 de ingreso</t>
  </si>
  <si>
    <t>&gt;= 3</t>
  </si>
  <si>
    <t>5.3.4.</t>
  </si>
  <si>
    <t xml:space="preserve">Indice de productividad del capital. </t>
  </si>
  <si>
    <t xml:space="preserve">Determinar la eficiencia con que se ocupan todos los bienes de capital que intervienen en el proceso de producción. </t>
  </si>
  <si>
    <t>Ingresos por bienes y/o servicios del período / Costo total de horas maquina en el período, en el proceso productivo.</t>
  </si>
  <si>
    <t>Por cada peso del costo de las máquinas se generan $84.3 de ingreso</t>
  </si>
  <si>
    <t>Por cada peso del costo de las máquinas se generan $57,96 de ingreso</t>
  </si>
  <si>
    <t>&gt;= 60</t>
  </si>
  <si>
    <t>5.3.5.</t>
  </si>
  <si>
    <t xml:space="preserve">Índice de productividad de mano de obra. </t>
  </si>
  <si>
    <t>Determinar la eficiencia del recurso humano dentro del proceso productivo.</t>
  </si>
  <si>
    <t>Ingresos por bienes y/o servicios del período / Costo total de mano de obra al precio del período</t>
  </si>
  <si>
    <t>Por cada peso que gastamos en los costos mano de obra se generan $36.4 de ingreso</t>
  </si>
  <si>
    <t>Por cada peso que gastamos en los costos mano de obra se generan $23,18 de ingreso</t>
  </si>
  <si>
    <t>&gt;= 25</t>
  </si>
  <si>
    <t>5.3.6.</t>
  </si>
  <si>
    <t>Índice de productividad de insumos intermedios.</t>
  </si>
  <si>
    <t>Determinar la eficiencia de los costos indirectos de fabricación, dentro del proceso productivo.</t>
  </si>
  <si>
    <t>Ingresos por bienes y/o servicios del período / Costos indirectos de fabricación utilizados en el periodo en el período.</t>
  </si>
  <si>
    <t>Por cada peso que gastamos en los costos indirectos de fabricación se generan $46.2 de ingreso</t>
  </si>
  <si>
    <t>Por cada peso que gastamos en los costos indirectos de fabricación se generan $29,52 de ingreso</t>
  </si>
  <si>
    <t>&gt;= 20</t>
  </si>
  <si>
    <t>5.3.7.</t>
  </si>
  <si>
    <t xml:space="preserve">Indice de productividad de materiales y suministros. </t>
  </si>
  <si>
    <t>Determinar la eficiencia con que se emplean los inventarios o materiales para generar el producto terminado.</t>
  </si>
  <si>
    <t xml:space="preserve">Ingresos por bienes y/o servicios del período / Costo total de materiales y suministros utilizados en el período </t>
  </si>
  <si>
    <t>Por cada peso que invertimos en materiales, suministros y materia prima se generan $4.7 de ingreso</t>
  </si>
  <si>
    <t>Por cada peso que invertimos en materiales, suministros y materia prima se generan $4,19 de ingreso</t>
  </si>
  <si>
    <t>&gt;= 2.5</t>
  </si>
  <si>
    <t>Contabilidad.</t>
  </si>
  <si>
    <t>De Rentabilidad:</t>
  </si>
  <si>
    <t>Definir cirterio.</t>
  </si>
  <si>
    <t>5.4.1.</t>
  </si>
  <si>
    <t>Indice Dupont</t>
  </si>
  <si>
    <t>Determinar que tan rentable es la Empresa. Utilizando el margen de utilidad sobre las ventas y la eficiencia en la utilización de los activos.</t>
  </si>
  <si>
    <t>Productividad</t>
  </si>
  <si>
    <t>(Utilidad Neta / Ventas) * (Ventas / Activo Total)</t>
  </si>
  <si>
    <t>Utilidad muy baja, apenas del 4.3%</t>
  </si>
  <si>
    <t>Utilidad que cubre la meta propuesta por la Subdirección Financiera</t>
  </si>
  <si>
    <t>5.4.2.</t>
  </si>
  <si>
    <t>Ebitda</t>
  </si>
  <si>
    <t>Determinar las utilidades obtenidas de una empresa sin tener en cuenta los gastos financieros, los impuestos y demàs gastos contables que no implican salida de dinero en efectivo como las depreciaciones y las amortizaciones.</t>
  </si>
  <si>
    <t>Diagnostico Financiero</t>
  </si>
  <si>
    <t>Utilidad Operativa + Depreciación + Amortizaciòn + Provisiones</t>
  </si>
  <si>
    <t>En el periodo se ha generado un EBITDA de $10.604MM</t>
  </si>
  <si>
    <t>En el periodo se ha generado un Margen EBITDA de $ 20.962MM</t>
  </si>
  <si>
    <t>&gt;= 40.000.000.000</t>
  </si>
  <si>
    <t>5.4.3.</t>
  </si>
  <si>
    <t>Margen Operaciones de Utilidad.</t>
  </si>
  <si>
    <t>Medir el margen de operaciones de utilidad en términos de la utilidad operacional sobre las ventas netas.</t>
  </si>
  <si>
    <t>Margen Operaciones de Utilidad = Utilidad Operacional / Ventas Netas.</t>
  </si>
  <si>
    <t>La empresa presenta un margen de utilidad operacional muy bueno del 43%</t>
  </si>
  <si>
    <t>La empresa presenta un margen de utilidad operacional muy bueno del 41%</t>
  </si>
  <si>
    <t>&gt;= 25%</t>
  </si>
  <si>
    <t>5.4.4.</t>
  </si>
  <si>
    <t>Margen Neto de Utilidad.</t>
  </si>
  <si>
    <t>Medir el margen neto de utilidad en términos de la utilidad neta sobre las ventas netas.</t>
  </si>
  <si>
    <t>Margen Neto de Utilidad = Utilidad Neta / Ventas Netas.</t>
  </si>
  <si>
    <t>La empresa presenta un margen neto de utilidad muy bueno del 47%</t>
  </si>
  <si>
    <t>La empresa presenta un margen neto de utilidad muy bueno del 52%</t>
  </si>
  <si>
    <t>5.4.5.</t>
  </si>
  <si>
    <t>Rendimiento de Patrimonio.</t>
  </si>
  <si>
    <t>Medir el rendimiento de patrimonio en términos de utilidad del ejercicio sobre el patrimonio.</t>
  </si>
  <si>
    <t xml:space="preserve"> Utilidad del Ejercicio / Patrimonio.</t>
  </si>
  <si>
    <t>A los inversionistas se les está generando un 12% de rentabilidad sobre su inversión</t>
  </si>
  <si>
    <t>A los inversionistas se les está generando un 16% de rentabilidad sobre su inversión</t>
  </si>
  <si>
    <t>&gt;= 15%</t>
  </si>
  <si>
    <t>6.</t>
  </si>
  <si>
    <t>GESTIÓN ADMINISTRATIVA.</t>
  </si>
  <si>
    <t>6.1.</t>
  </si>
  <si>
    <t>Gestión de Recursos Físicos.</t>
  </si>
  <si>
    <t>6.1.1.</t>
  </si>
  <si>
    <t>Consumo papel.</t>
  </si>
  <si>
    <t xml:space="preserve">Reducir el consumo de papel, con el fin de dar cumplimiento del objetivo estratégico, el cual obecece a eficiencia y austeridad de los costos y gastos incurridos por la Empresa de Licores de Cundinamarca. </t>
  </si>
  <si>
    <t>(cantidad resmas papel consumo vigencia actual   / cantidad resmas papel consumo vigencia anterior )* 100</t>
  </si>
  <si>
    <t>Porcentaje.</t>
  </si>
  <si>
    <t>Subgerencia Administrativa</t>
  </si>
  <si>
    <t>incremento en consumo en 264 % frente al periodo del año anterior ,obedece al inicio parcial de actividades mes enero del año vigencia 2018.</t>
  </si>
  <si>
    <t>incremento en 1% consumo frente al mismo periodo del año anterior ,obedece potenciacion al 100% de actividades mes febrero vigencia 2018.</t>
  </si>
  <si>
    <t>al corte mes marzo el indicador muestra disminucion en consumo de papel  del 64% frente al mismo periodo del año anterior y el consumo mensual esta dentro del rango para cumplimiento de meta año.</t>
  </si>
  <si>
    <t>al corte mes abril el indicador muestra disminucion en consumo de papel  del 30% frente al mismo periodo del año anterior,dentro del rango para cumplimiento de meta año.</t>
  </si>
  <si>
    <t>al corte mes mayo el indicador muestra disminucion en consumo de papel  del  21% frente al mismo periodo del año anterior.</t>
  </si>
  <si>
    <t>al corte mes junio el indicador muestra disminucion en consumo de papel  del 7% frente al mismo periodo del año anterior, con tendencia en disminucion en consumo en  los ultimos tres meses.</t>
  </si>
  <si>
    <t>al corte mes julio el indicador muestra disminucion en consumo de papel  del 2% frente al mismo periodo del año anterior, con tendencia en disminucion en consumo en  los ultimos tres meses.</t>
  </si>
  <si>
    <t>al corte mes agosto el indicador muestra disminucion en consumo de papel  del 9% frente al mismo periodo del año anterior, con tendencia en disminucion en consumo en  los ultimos seis meses .</t>
  </si>
  <si>
    <t xml:space="preserve">al corte mes septiembre el indicador muestra un aumento consumo de papel en 1% frente al mismo periodo del año anterior, y en consolidado consumo año 2018 segun linea base año 2017 de 729 resmas y consumo esperado año 2018 de 639 resmas .la tendencia en disminucion consumo a corte septiembre equivale a un 9,44%.                                                    </t>
  </si>
  <si>
    <t>729 resmas año 2017</t>
  </si>
  <si>
    <t>6.1.2.</t>
  </si>
  <si>
    <t>Administración de Materiales Adquiridos.</t>
  </si>
  <si>
    <t>Medir el nivel de cumplimiento de reservas solicitadas de materias primas y/o insumos para producción.</t>
  </si>
  <si>
    <t>(Total ordenes de transporte entregadas a producción / Total reservas solicitadas por producción)*100</t>
  </si>
  <si>
    <t>suministro de insumos y materias primas atendidos con oportunidad al 100% .</t>
  </si>
  <si>
    <t>suministro de insumos y materias primas atendidos con oportunidad al 100%.</t>
  </si>
  <si>
    <t>70- 100%</t>
  </si>
  <si>
    <t>6.1.3.</t>
  </si>
  <si>
    <t>Control de inventarios.</t>
  </si>
  <si>
    <t>Mantener control de inventario en bodega de materias primas en insumos trazadores para la producción según contratos.</t>
  </si>
  <si>
    <t>(Valor de materias primas e insumos trazadores por contratos / valor total contratos de materias primas e insumos trazadores) *100</t>
  </si>
  <si>
    <t>Alcohol: Trimestral. 
Envase: Trimestral.
Tapa: Trimestral.
Caja: Trimestral.
Etiqueta: Trimestral.</t>
  </si>
  <si>
    <t>Trimestral.</t>
  </si>
  <si>
    <t>se realizó lo correspondiente a la primera toma física programada para la vigencia.</t>
  </si>
  <si>
    <t>6.1.4.</t>
  </si>
  <si>
    <t>Relación de Inventarios.</t>
  </si>
  <si>
    <t>Medir porcentualmente las cantidades de inventario recibidas, de acuerdo con las cantidades compradas.</t>
  </si>
  <si>
    <t>( Cantidades Recibidas / Cantidades Compradas )* 100.</t>
  </si>
  <si>
    <t>Subgerencias Administrativa, Comercial y Técnica.</t>
  </si>
  <si>
    <t xml:space="preserve">El nivel de ejecución de los contratos de materias primas é insumos trazadores para la producción de la ELC para el segundo trimestre de la vigencia fiscal 2018, con dartos acumulado se encuentra en un 80% correspondiente a la suma de $15.377.903.306 por concepto del valor  de la materia prima é insumos ingresados al Almacén General durante el período comprendido del 01 de enero a junio de  2018 al 30 de Junio de 2018 respecto al valor total de los contratos suscritos de los referidos insumos y materias primas, garantizando la ejecución de la programación de producción yu comercialización. </t>
  </si>
  <si>
    <t>En el tercer trimestre los contratos trazadores para producción, tanto materias primas como insumos, se encuentran ejecutados en un 78%</t>
  </si>
  <si>
    <t>6.1.5.</t>
  </si>
  <si>
    <t>Variaciones de Inventarios.</t>
  </si>
  <si>
    <t>Determinar porcentualmente las variaciones entre las cantidades identificadas en fisico y las cantidades registradas en el sistema de información con el fin de minimizar las diferencias generadas.</t>
  </si>
  <si>
    <t>(Valor en pesos de la toma fisica del inventario de Insumos y material de empaque, alcohol y tafias / Valor en pesos del inventario en el Sistemas de Información SAP)*100</t>
  </si>
  <si>
    <t>Subgerencias Administrativa, Comercial y Técnica</t>
  </si>
  <si>
    <t>Alcohol: Mensual.
Empaque -Tafia: Semestral</t>
  </si>
  <si>
    <t>En la toma física del primer semestre  no se presenta variaciones entre el valor de las cantidades identificadas en físico con las registradas en el sistema de información SAP.</t>
  </si>
  <si>
    <t>6.2.</t>
  </si>
  <si>
    <t>6.2.1.</t>
  </si>
  <si>
    <t>Nivel de Disposiciòn final de serie documental.</t>
  </si>
  <si>
    <t>Medir porcentualmente el nùmero de folios por serie documental dispuestos, de acuerdo con el nùmero de folios de series documentales aprobados por comitè para disposiciòn final.</t>
  </si>
  <si>
    <t>Numero de folios dispuestos por serie documental / Nùmero total de folios a disponer por series aprobados por el comitè.</t>
  </si>
  <si>
    <t>Todas las Subgerencias y Oficinas.</t>
  </si>
  <si>
    <t>Historico Vigencia anterior.</t>
  </si>
  <si>
    <t>6.2.2.</t>
  </si>
  <si>
    <t>Nivel de Transferencias Primarias.</t>
  </si>
  <si>
    <t>Medir porcentualmente las series transferidas por dependencia, de acuerdo con el total de archivos de gestiòn a transferir por dependencia.</t>
  </si>
  <si>
    <t>(Series Transferidas por Dependencia / Total de Series a Transferir por Dependencia ) * 100.</t>
  </si>
  <si>
    <t>PORCENTAJE - No SERIES TRANSFERIDAS.</t>
  </si>
  <si>
    <t>6.3.</t>
  </si>
  <si>
    <t>Servicios Administrativos.</t>
  </si>
  <si>
    <t>6.3.1.</t>
  </si>
  <si>
    <t>Índice de costos para la dependencia Administrativa.</t>
  </si>
  <si>
    <t>Determinar el grado de eficiencia con que se emplean los recursos(costos / gastos incurridos), en la Subgerencia Administrativa.</t>
  </si>
  <si>
    <t>Costos y/o gastos totales incurridos por la Subgerencia Administrativa  / Costos y/o gastos totales incurridos por la ELC.</t>
  </si>
  <si>
    <t>participacion gasto subgerencia administrativa coherente con los procesos que ejecuta .</t>
  </si>
  <si>
    <t>participacion gasto subgerencia administrativa coherente con los procesos que ejecuta.</t>
  </si>
  <si>
    <t>participacion en pesos en gasto corte marzo   del total equivale 30,72% fuente informacion sub financiera, incremento frente al mes anterior obedece a pago obligaciones tributarias impuesto predial.</t>
  </si>
  <si>
    <t>participacion en pesos acumulado gasto corte abril  del total equivale 13% fuente informacion sub financiera.</t>
  </si>
  <si>
    <t>participacion en pesos acumulado gasto corte mayo del total equivale 14% fuente informacion sub financiera.</t>
  </si>
  <si>
    <t>participacion en pesos acumulado gasto corte junio   del total equivale 3% fuente informacion sub financiera.</t>
  </si>
  <si>
    <t>participacion en pesos acumulado gasto corte julio   del total equivale 12% fuente informacion sub financiera.</t>
  </si>
  <si>
    <t>participacion en pesos acumulado gasto corte agosto del total equivale 13% fuente informacion sub financiera.</t>
  </si>
  <si>
    <t>participacion en pesos acumulado gasto corte septiembre del total equivale 14% fuente informacion sub financiera.</t>
  </si>
  <si>
    <t>Historico</t>
  </si>
  <si>
    <t>Disminucion en un 5% anual</t>
  </si>
  <si>
    <t>6.3.2.</t>
  </si>
  <si>
    <t>Variación de Consumo de Combustible.</t>
  </si>
  <si>
    <t>Medir la variación del consumo total del combustible mes actual, conforme al consumo total mensual del año anterior.</t>
  </si>
  <si>
    <t>(Total consumo de combustible mes actual / Total consumo mensual del año anterior)*100,</t>
  </si>
  <si>
    <t>PORCENTAJE - CONSUMO GALONES</t>
  </si>
  <si>
    <t>Subgerencia Administrativa.</t>
  </si>
  <si>
    <t>Frente al mismo periodo del año anterior se refleja disminucion consumo del  3,59%</t>
  </si>
  <si>
    <t>Frente al mismo periodo del año anterior se refleja aumento consumo del  32,18% ,por actividades recorridos entre planta cota planta bogota   trsalado de algunos bienes ubicados en planta bogota.</t>
  </si>
  <si>
    <t>Frente al mismo periodo del año anterior se refleja disminucion consumo del  2,14%</t>
  </si>
  <si>
    <t>Frente al mismo periodo del año anterior se refleja un aumento consumo del  24%</t>
  </si>
  <si>
    <t>Frente al mismo periodo del año anterior se refleja un aumento consumo del  17%</t>
  </si>
  <si>
    <t>frente al periodo comparado corte mes de junio la tendencia refleja que empieza a estabilizarse  el consumo , no obstante para impactar el gasto , la empresa adopto la politica de compra de combustibles a traves de colombia compra eficiente  lo que a permitido disminucion del gasto en pesos de $ 3:781.340 equivalente a   9,32%.</t>
  </si>
  <si>
    <t xml:space="preserve">Frente al periodo comparado mes julio año 2018 se presenta una tendencia aumento  consumo de 2% </t>
  </si>
  <si>
    <t>Frente al periodo comparado mes agosto  año 2018 se presenta una tendencia disminucion consumo en un 5% .</t>
  </si>
  <si>
    <t>frente al periodo comparado corte mes de septiembre 2018 la tendencia disminucion consumo en 8% ,que equivale en menor valor en gasto en dinero de $  8.047.909.</t>
  </si>
  <si>
    <t>9681 galones año 2017</t>
  </si>
  <si>
    <t>6.3.3.</t>
  </si>
  <si>
    <t>Nivel de Mantenimientos Locativos Atendidos.</t>
  </si>
  <si>
    <t>Medir porcentualmente los mantenimientos locativos atendidos, conforme a los mantenimientos locativos solicitados.</t>
  </si>
  <si>
    <t>(Mantenimientos Locativos Atendidos / Mantenimientos Locativos Solicitados)*100.</t>
  </si>
  <si>
    <t>PORCENTAJE - MANTENIMIENTOS ATENDIDOS .</t>
  </si>
  <si>
    <t>mantenimientos locativos atendidos a demanda al 100%</t>
  </si>
  <si>
    <t>Historico periodo anterior.</t>
  </si>
  <si>
    <t>7.</t>
  </si>
  <si>
    <t>GESTIÓN DE TALENTO HUMANO.</t>
  </si>
  <si>
    <t>7.1.</t>
  </si>
  <si>
    <t>Administración del Talento Humano.</t>
  </si>
  <si>
    <t>7.1.1.</t>
  </si>
  <si>
    <t>Índice de costos para la Gestión de Talento Humano.</t>
  </si>
  <si>
    <t xml:space="preserve">Determinar el grado de eficiencia con que se emplean los recursos(costos / gastos incurridos), en la Subgerencia de Talento Humano. </t>
  </si>
  <si>
    <t>Costos y/o gastos totales incurridos por la Subgerencia de Talento Humano  / Costos y/o gastos totales incurridos por la ELC.</t>
  </si>
  <si>
    <t>Subgerencia de Talento Humano.</t>
  </si>
  <si>
    <t>$201.293.417 Invertidos durante el mes los cuales equivalen al porcentaje reportado comparado con el 100% de recursos invertidos por la Empresa</t>
  </si>
  <si>
    <t>$175.581.887 Invertidos durante el segundo mes los cuales equivalen al porcentaje reportado comparado con el 100% de recursos invertidos por la Empresa</t>
  </si>
  <si>
    <t>$281.406.481 Invertidos durante este periodo los cuales equivalen al porcentaje reportado comparado con el 100% de recursos invertidos por la Empresa</t>
  </si>
  <si>
    <t>$376,209,625 Invertidos durante este periodo los cuales equivalen al porcentaje reportado comparado con el 100% de recursos invertidos por la Empresa</t>
  </si>
  <si>
    <t>$277,225,652 Invertidos durante este periodo los cuales equivalen al porcentaje reportado comparado con el 100% de recursos invertidos por la Empresa</t>
  </si>
  <si>
    <t>$237,267,692 Invertidos durante este periodo los cuales equivalen al porcentaje reportado comparado con el 100% de recursos invertidos por la Empresa (Porcentaje consolidado segundo trimestre 6%) Acumulado del año 8,4%</t>
  </si>
  <si>
    <t>N.A.</t>
  </si>
  <si>
    <t>lo Porporciona directamente el area financiera</t>
  </si>
  <si>
    <t>7.1.2.</t>
  </si>
  <si>
    <t xml:space="preserve">Plan de capacitación. </t>
  </si>
  <si>
    <t>Medir las actividades de capacitación institucional programadas y ejecutadas en la vigencia, de acuerdo a las necesidades reportadas por cada una de las gestiones de la Empresa de Licores de Cundinamarca.</t>
  </si>
  <si>
    <t>Actividades de Capacitación Institucional ejecutadas en la vigencia  / Actividades de Capacitación Programadas en la vigencia.</t>
  </si>
  <si>
    <t>Porcentaje Acumulativo para la vigencia.</t>
  </si>
  <si>
    <t>Durante este periodo se realizo la encuesta a los funcionarios con el fin de verificar las necesidades y rezaliar la formulacion del plan anual de capacitacion.</t>
  </si>
  <si>
    <t>Se realizo la formaulacion del plan anual de capacitacion de acuerdo a las necesidades manifestadas por los funcionarios y jefes, tambien se adelantaron los ajustes respectivos al mismo conjuntamente con el Gerente general de la empresa.</t>
  </si>
  <si>
    <t xml:space="preserve">Adelantamos las jornadas de induccion y reinduccion, que se llevaron a cabo los dias 09 y 16 de marzo.  </t>
  </si>
  <si>
    <t>se realizo la capacitacion numero tres en BPM manejo higienico de alimentos con enfasis en bebidads alcoholicas el dia 22 y 23 de junio.</t>
  </si>
  <si>
    <t>No se realizaron actividades concernientes al plan anual de capacitacion.</t>
  </si>
  <si>
    <t xml:space="preserve">
Se realiza capacitacion en gestion integral de residuos. (8 y 9 de agosto)
capacitacion en aguas saneamiento y medio ambiente. (8 y 9 de agosto)</t>
  </si>
  <si>
    <t xml:space="preserve">
Capacitacion en Metrologia (05 -07 de septiembre)Previo concenso con la Gerencia General se Reprograma el cronograma anual de capacitacion.</t>
  </si>
  <si>
    <t>7.1.3.</t>
  </si>
  <si>
    <t>Índice de Cumplimiento del Programa de Bienestar Social.</t>
  </si>
  <si>
    <t>Medir las actividades de bienestar social programadas y ejecutadas en el periodo, manifestando a los funcionarios el aprecio y valor que tiene para la Empresa de Licores de Cundinamarca la gestión ejecutada por cada uno de los colaboradores de la entidad.</t>
  </si>
  <si>
    <t>Actividades de Bienestar Social Ejecutadas en la vigencia / Actividades de Bienestar Social Programadas en la vigencia.</t>
  </si>
  <si>
    <t>Durante este periodo se realizo la encuesta a los funcionarios con el fin de verificar las necesidades y rezaliar la formulacion del plan anual de Bienestar social laboral.</t>
  </si>
  <si>
    <t>Se realizo la formaulacion del plan de bienestar social laboral de acuerdo a las necesidades manifestadas por los funcionarios y jefes, tambien se adelantaron los ajustes respectivos al mismo conjuntamente con el Gerente general de la empresa.</t>
  </si>
  <si>
    <t>Se han ejecutado las siguientes actividaeds: Entrega de detalle de cumpleaños a los funcionarios, celebracion de dia de la mujer, programa de acondicionamiento fisicoi e inscripcion en torneo interempresarial de bolos.</t>
  </si>
  <si>
    <t>Se elabora contrato 5220180223 con la empresa Colsubsidio con el fin de ejecutar las siguientes actividades: Vacaciones recreativas (julio), dia del servidor publico (julio), juegos internos (julio en adelante), Gran dia de integracion ELC (Agosto) Dia de la institucionalidad (octubre). 
6, Se realizo concurso "Polla mundialista Nectar" con todos los servidores publicos de la empresa, en el cual se incentiva el apoyo a nuestra seleccion en el mundial Rusia 2018.</t>
  </si>
  <si>
    <t>Programa de vacaciones recreativas conto con una participacion de 31 niños y jovenes beneficiados con actividades ludico recreativas.
Se realiza jornada dia del servidor publico, en el cual se propone enfatizar en el fortalecimiento del trabajo  en equipo contando con una participacion de 150 personas.
Se realiza jornada de inauguracion de juegos internos contando cpon la participacion del total de los funcionarios de la Empresa y en el cual se premio la creatividad y compromiso de las delegaciones, se reqalizaron actos culturales encaminados a fortalecer los lazos de amistad y el buen clima organizacional.</t>
  </si>
  <si>
    <t>Gran dia de integracion ELC, esta actividad realizada en el municipio de la Vega Cundinamarca el dia 31 de agosto contando con la participacion de todos los funcionarios en una jornada de 7:30 am a 4:00 pm por porcionando transporte y alimentacion en una finca con comodidaes para pasar un rato de sano esparcimiento con el fin de lograr una mayor integracion y una mejor la cultura organizacional</t>
  </si>
  <si>
    <t>Dentro del programa de bienestar se han realizado los encuentros deportivos correspondientes a las olimpiadas internas, este evento se viene adelantando desde el mes de julio y se finalizara en diciembre.</t>
  </si>
  <si>
    <t>&gt; 90%</t>
  </si>
  <si>
    <t>7.1.4.</t>
  </si>
  <si>
    <t>Novedades de Nomina.</t>
  </si>
  <si>
    <t>Medir la efectividad en el proceso de liquidación de novedades de nomina en el periodo.</t>
  </si>
  <si>
    <t>No. de reclamaciones en el periodo/ No. de novedades en el periodo.</t>
  </si>
  <si>
    <t>Procentaje.</t>
  </si>
  <si>
    <t>Durante este mes se se liquidaron cesantias a todos los funcionarios, el sistema presento errores en la liquidadion a los trabajadores cuyas cesantias se giraban a fondos privados, pero dicho error se detecto y se corrigio antes de realizar los pagos.</t>
  </si>
  <si>
    <t>Se recibieron 353 novedades de nomina, horas extras, prestamos, reintegros medicos, auxilios, etc, los cuales se liquidaron y pagaron de forma correcta</t>
  </si>
  <si>
    <t>Se recibieron 329 novedades de nomina, horas extras, prestamos, reintegros medicos, auxilios, etc, los cuales se liquidaron y pagaron de forma correcta</t>
  </si>
  <si>
    <t>se recibieron 191 novedades de nomina de las cuales se reliquidaron 3 por errores</t>
  </si>
  <si>
    <t>se recibieron 143 novedades de nomina, de las cuales no existio reclamacion de ningun concepto</t>
  </si>
  <si>
    <t>se recibieron 163 novedades de nomina de las cuales se reliquido 1 por errores.</t>
  </si>
  <si>
    <t>se recibieron 407 novedades de nomina de las cuales se reliquidaron 2 por errores</t>
  </si>
  <si>
    <t>se recibieron 447 novedades de nomina, de las cualesse reliquidaron 2.</t>
  </si>
  <si>
    <t>se recibieron 512 novedades de nomina de las cuales se reliquido 7 por errores.</t>
  </si>
  <si>
    <t>&lt; = 5%</t>
  </si>
  <si>
    <t>7.1.7.</t>
  </si>
  <si>
    <t>Indice de no permanencia.</t>
  </si>
  <si>
    <t>Conocer el debido cumplimiento en lo que refiere al horario de trabajo establecido por el reglamento interno de la Empresa de Licores de Cundinamarca.</t>
  </si>
  <si>
    <t>Número de horas totales / Número de horas laborales en el periodo.</t>
  </si>
  <si>
    <t>Se realiza el analisis basandose en las horas de ausencia sin justificacion alguna.</t>
  </si>
  <si>
    <t>Se realiza el analisis basandose en las horas de ausencia sin justificacion alguna.
El sistema esta presentando algunas fallas las cuales estan en proceso de revision para mejorar la medicion y poder brindar informacion confiable.</t>
  </si>
  <si>
    <t>Se realiza el analisis basandose en las horas de ausencia sin justificacion alguna. 
El sistema esta presentando algunas fallas las cuales estan en proceso de revision para mejorar la medicion y poder brindar informacion confiable.</t>
  </si>
  <si>
    <t>Se trabaja de manera conjunta con la empresa Microtel, con el fin de implementar el torniquete de entrada peatonal para obtener registros acertados y veraces de ingreso y salida del personal</t>
  </si>
  <si>
    <t>Se oficializa el protocolo de ingreso de personal mediante circular emitida el 24 de mayo. Lo anterior ayudara a la obtencion de informacion confiable en cuanto a la permanencia del personal de la Empresa.</t>
  </si>
  <si>
    <t>Aunque el sistema ha presentado algunas fallas, se evidencia gran avance en la medicion de la no permanencia del personal de la Empresa de Licores de Cundinamarca, a tal punto que ya no encontramos ausentismos injustificados.
A pesar de lo anterior el indice de no permanencia se ha incrementado de gran manera, debido a la toma de vacaciones por gran parte de personal, permisos sindicales transitorios y permanentes, esto hace que se deba revisar y posiblemente reformular el indicador y su forma de medicion con el fin de aportar informacion util para la empresa y sus procesos.</t>
  </si>
  <si>
    <t>Se realiza reajuste a los parametros de medicion, ya que las vacaciones no se consideran parte del ausentismo ya que son un derecho adquirido por el trabajador. Estos reajustes evidencian una disminucion en la medicion del indicador.</t>
  </si>
  <si>
    <t>&lt; = 10%</t>
  </si>
  <si>
    <t>7.2.2.</t>
  </si>
  <si>
    <t>Índice de Frecuencia de Accidentes.</t>
  </si>
  <si>
    <t>Medir y controlar la frecuencia de accidentalidad laboral en la Empresa de Licores de Cundinamarca, y de está forma minimixar los riesgos a los cuales se encuentran expuestos los funcionarios de la entidad.</t>
  </si>
  <si>
    <t>Número de Accidentes en un Período * K / Total Horas Hombre Trabajadas. Donde K = 100 * 40 * 50 Constante Según Jornada de Trabajo.</t>
  </si>
  <si>
    <t>I.F.</t>
  </si>
  <si>
    <t>No se presentaron accidentes de trabajo durante el periodo</t>
  </si>
  <si>
    <t>Durante este mes se presentaron 3 accidentes laborales</t>
  </si>
  <si>
    <t>Durante este mes se presentaron 1 accidente laboral</t>
  </si>
  <si>
    <t>Un accidente de trabajo durante este mes con un periodo de incqapacidad de 3 dias,</t>
  </si>
  <si>
    <t>Dos accidente de trabajo durante este mes con un periodo de incqapacidad de 0 dias.</t>
  </si>
  <si>
    <t>Dos accidente de trabajo durante este mes con un periodo de incqapacidad de 47 dias,</t>
  </si>
  <si>
    <t>7.86</t>
  </si>
  <si>
    <t>&lt; = 7.86</t>
  </si>
  <si>
    <t>7.2.3.</t>
  </si>
  <si>
    <t>Índice de Cumplimiento del Programa de Seguridad y Salud en el trabajo.</t>
  </si>
  <si>
    <t>Prevenir  accidentes laborales y mantener las condiciones sanas y seguras de los funcionarios de la Empresa de Licores de Cundinamarca, en el desarrollo de sus actividades cotidianas.</t>
  </si>
  <si>
    <t>Actividades Ejecutadas / Actividades Programadas * 100.</t>
  </si>
  <si>
    <t xml:space="preserve">
* Entrega EPP se realiza  por medio de una màquina dispensadora  instalada al ingreso de las àreas operativas.
* Inspecciones:
• Extintores: Se realizan las inspecciones cada 15 dias.
• Botiquines: Se realizan las inspecciones cada 15 dias.
• Camillas: Se realizan las inspecciones cada 15 dias. 
• Locativas: Se realizan las inspecciones diarias de 3 a 5 veces al dia. Queda evidencia en informe mensual de este periodo.</t>
  </si>
  <si>
    <t xml:space="preserve">
* Entrega EPP se realiza  por medio de una màquina dispensadora  instalada al ingreso de las àreas operativas.
* Inspecciones:
• Extintores: Se realizan las inspecciones cada 15 dias.
• Botiquines: Se realizan las inspecciones cada 15 dias.
• Camillas: Se realizan las inspecciones cada 15 dias. 
• Locativas: Se realizan las inspecciones diarias de 3 a 5 veces al dia. Queda evidencia en informe mensual de este periodo.
Se realizo capacitacion en sistema de comandos de incidentes_ materiales peligrosos </t>
  </si>
  <si>
    <t xml:space="preserve">
* Entrega EPP se realiza  por medio de una màquina dispensadora  instalada al ingreso de las àreas operativas.
* Inspecciones:
• Extintores: Se realizan las inspecciones cada 15 dias.
• Botiquines: Se realizan las inspecciones cada 15 dias.
• Camillas: Se realizan las inspecciones cada 15 dias. 
• Locativas: Se realizan las inspecciones diarias de 3 a 5 veces al dia. Queda evidencia en informe mensual de este periodo.
se gestiono capacitacion en fundamento normativo de comite de convivencia.</t>
  </si>
  <si>
    <t>7.2.4.</t>
  </si>
  <si>
    <t>Plan intervención clima laboral.</t>
  </si>
  <si>
    <t>Provocar un impacto positivo en el clima laboral de la Empresa Licores de Cundinamarca, con el fin de incrementar la productividad y trabajo en equipo de los funcionarios de la entidad.</t>
  </si>
  <si>
    <t>No se programaron actividades</t>
  </si>
  <si>
    <t>Se realiza sondeo de mercado para la medicion e implementacion del programa de clima laboral.</t>
  </si>
  <si>
    <t>No Programado</t>
  </si>
  <si>
    <t>Actividad pospuesta por comité de gerencia debido a que no es viable la inversion de recursos antes de adelantar el programa de reorganizacion administrativa</t>
  </si>
  <si>
    <t>8.</t>
  </si>
  <si>
    <t>GESTIÓN JURÍDICA.</t>
  </si>
  <si>
    <t>Asesoría Jurídica.</t>
  </si>
  <si>
    <t>Oficina Asesora Jurídica.</t>
  </si>
  <si>
    <t>GESTION JURÍDICA.</t>
  </si>
  <si>
    <t>8.1.2.</t>
  </si>
  <si>
    <t>Asesorías Jurídicas.</t>
  </si>
  <si>
    <t>Medir porcentualmente el nivel de cumplimiento de solicitudes de asesoría jurídica atendidas con respecto a las solicitudes recibidas.</t>
  </si>
  <si>
    <t>((Número de solicitudes de control de legalidad y asesoria juridica solicitadas por otras dependencias/Número de solicitudes de control de legalidad y asesoria juridica solicitadas atendidas)*100).</t>
  </si>
  <si>
    <t>Bimestral.</t>
  </si>
  <si>
    <t>La oficina Asesora Jurídica realiza seguimiento a las solicitudes de asesoría jurídica y la oportunidad en su respuesta a traves de una  base de datos donde se registra la fecha de ingreso de la solicitud de asesoria o control de legalidad; De igual manera para brindar respuestas oportunas y con calidad realizamos una revisión  periodica de la normatividad expedida a nivel nacional y departamental. Durante el mes de enero de 2018 se dio trámite a 8 solicitudes de control de legalidad.</t>
  </si>
  <si>
    <t>La oficina Asesora Jurídica realiza seguimiento a las solicitudes de asesoría jurídica y la oportunidad en su respuesta a traves de una  base de datos donde se registra la fecha de ingreso de la solicitud de asesoria o control de legalidad; De igual manera para brindar respuestas oportunas y con calidad realizamos una revisión  periodica de la normatividad expedida a nivel nacional y departamental. Durante el mes de febrero de 2018 se dio trámite a 11 solicitudes de control de legalidad.</t>
  </si>
  <si>
    <t>La oficina Asesora Jurídica realiza seguimiento a las solicitudes de asesoría jurídica y la oportunidad en su respuesta a traves de una  base de datos donde se registra la fecha de ingreso de la solicitud de asesoria o control de legalidad; De igual manera para brindar respuestas oportunas y con calidad realizamos una revisión  periodica de la normatividad expedida a nivel nacional y departamental. Durante el mes de marzo de 2018 se dio trámite a 11 solicitudes de control de legalidad.</t>
  </si>
  <si>
    <t>La oficina Asesora Jurídica realiza seguimiento a las solicitudes de asesoría jurídica y la oportunidad en su respuesta a traves de una  base de datos donde se registra la fecha de ingreso de la solicitud de asesoria o control de legalidad; De igual manera para brindar respuestas oportunas y con calidad realizamos una revisión  periodica de la normatividad expedida a nivel nacional y departamental. Durante el mes de abril de 2018 se dio trámite a 20 solicitudes de control de legalidad.</t>
  </si>
  <si>
    <t>La oficina Asesora Jurídica realiza seguimiento a las solicitudes de asesoría jurídica y la oportunidad en su respuesta a traves de una  base de datos donde se registra la fecha de ingreso de la solicitud de asesoria o control de legalidad; De igual manera para brindar respuestas oportunas y con calidad realizamos una revisión  periodica de la normatividad expedida a nivel nacional y departamental. Durante el mes de mayo de 2018 se dio trámite a 38 solicitudes de control de legalidad.</t>
  </si>
  <si>
    <t>La oficina Asesora Jurídica realiza seguimiento a las solicitudes de asesoría jurídica y la oportunidad en su respuesta a traves de una  base de datos donde se registra la fecha de ingreso de la solicitud de asesoria o control de legalidad; De igual manera para brindar respuestas oportunas y con calidad realizamos una revisión  periodica de la normatividad expedida a nivel nacional y departamental. Durante el mes de mayo de 2018 se dio trámite a 32 solicitudes de control de legalidad.</t>
  </si>
  <si>
    <t>La oficina Asesora Jurídica realiza seguimiento a las solicitudes de asesoría jurídica y la oportunidad en su respuesta a traves de una  base de datos donde se registra la fecha de ingreso de la solicitud de asesoria o control de legalidad; De igual manera para brindar respuestas oportunas y con calidad realizamos una revisión  periodica de la normatividad expedida a nivel nacional y departamental. Durante el mes de julio de 2018 se dio trámite a 53 solicitudes de control de legalidad.</t>
  </si>
  <si>
    <t>La oficina Asesora Jurídica realiza seguimiento a las solicitudes de asesoría jurídica y la oportunidad en su respuesta a traves de una  base de datos donde se registra la fecha de ingreso de la solicitud de asesoria o control de legalidad; De igual manera para brindar respuestas oportunas y con calidad realizamos una revisión  periodica de la normatividad expedida a nivel nacional y departamental. Durante el mes de agosto de 2018 se dio trámite a 29 solicitudes de control de legalidad.</t>
  </si>
  <si>
    <t>La oficina Asesora Jurídica realiza seguimiento a las solicitudes de asesoría jurídica y la oportunidad en su respuesta a traves de una  base de datos donde se registra la fecha de ingreso de la solicitud de asesoria o control de legalidad; De igual manera para brindar respuestas oportunas y con calidad realizamos una revisión  periodica de la normatividad expedida a nivel nacional y departamental. Durante el mes de septiembre de 2018 se dio trámite a 15 solicitudes de control de legalidad.</t>
  </si>
  <si>
    <t>8.2.</t>
  </si>
  <si>
    <t>Defensa Jurídica.</t>
  </si>
  <si>
    <t>8.2.1.</t>
  </si>
  <si>
    <t>Representación Jurídica.</t>
  </si>
  <si>
    <t>Medir porcentualmente el nivel de Cumplimiento de las acciones ejecutadas para proteger los intereses de la ELC conforme a lo establece la normatividad.</t>
  </si>
  <si>
    <t>La Oficina Asesora Jurídica realiza un control mensual de procesos a través de la pagina de la Rama Judicial, contrastado con la información suministrada por los Asesores externos y la Empresa de Vigilancia Judicial; todo lo anterior, con el fin de hacer seguimientos a las actuaciones que se realizan en los procesos judiciales. Para enero de 2018 contamos con 36 procesos terminados de los cuales 33 estan a favor de la ELC y 3 en contra y 92 procesos en curso de los cuales 78 son a favor de la ELC y 14 en contra</t>
  </si>
  <si>
    <t>La Oficina Asesora Jurídica realiza un control mensual de procesos a través de la pagina de la Rama Judicial, contrastado con la información suministrada por los Asesores externos y la Empresa de Vigilancia Judicial; todo lo anterior, con el fin de hacer seguimientos a las actuaciones que se realizan en los procesos judiciales. Para febrero de 2018 contamos con 36 procesos terminados de los cuales 33 estan a favor de la ELC y 3 en contra y 92 procesos en curso de los cuales 78 son a favor de la ELC y 14 en contra</t>
  </si>
  <si>
    <t>La Oficina Asesora Jurídica realiza un control mensual de procesos a través de la pagina de la Rama Judicial, contrastado con la información suministrada por los Asesores externos y la Empresa de Vigilancia Judicial; todo lo anterior, con el fin de hacer seguimientos a las actuaciones que se realizan en los procesos judiciales. Para marzo de 2018 contamos con 36 procesos terminados de los cuales 33 estan a favor de la ELC y 3 en contra y 92 procesos en curso de los cuales 78 son a favor de la ELC y 14 en contra.</t>
  </si>
  <si>
    <t>La Oficina Asesora Jurídica realiza un control mensual de procesos a través de la pagina de la Rama Judicial, contrastado con la información suministrada por los Asesores externos y la Empresa de Vigilancia Judicial; todo lo anterior, con el fin de hacer seguimientos a las actuaciones que se realizan en los procesos judiciales. Para abril de 2018 contamos con 37 procesos terminados de los cuales 33 estan a favor de la ELC y 4 en contra y 94 procesos en curso de los cuales 78 son a favor de la ELC y 16 en contra</t>
  </si>
  <si>
    <t>La Oficina Asesora Jurídica realiza un control mensual de procesos a través de la pagina de la Rama Judicial, contrastado con la información suministrada por los Asesores externos y la Empresa de Vigilancia Judicial; todo lo anterior, con el fin de hacer seguimientos a las actuaciones que se realizan en los procesos judiciales. Para mayo de 2018 contamos con 37 procesos terminados de los cuales 33 estan a favor de la ELC y 4 en contra y 94 procesos en curso de los cuales 78 son a favor de la ELC y 16 en contra</t>
  </si>
  <si>
    <t>La Oficina Asesora Jurídica realiza un control mensual de procesos a través de la pagina de la Rama Judicial, contrastado con la información suministrada por los Asesores externos y la Empresa de Vigilancia Judicial; todo lo anterior, con el fin de hacer seguimientos a las actuaciones que se realizan en los procesos judiciales. Para junio de 2018 contamos con 37 procesos terminados de los cuales 33 estan a favor de la ELC y 4 en contra y 94 procesos en curso de los cuales 78 son a favor de la ELC y 16 en contra</t>
  </si>
  <si>
    <t>La Oficina Asesora Jurídica realiza un control mensual de procesos a través de la pagina de la Rama Judicial, contrastado con la información suministrada por los Asesores externos y la Empresa de Vigilancia Judicial; todo lo anterior, con el fin de hacer seguimientos a las actuaciones que se realizan en los procesos judiciales. Para julio de 2018 contamos con  106 procesos en curso de los cuales 90 son a favor de la ELC y 16 en contra</t>
  </si>
  <si>
    <t>La Oficina Asesora Jurídica realiza un control mensual de procesos a través de la pagina de la Rama Judicial, contrastado con la información suministrada por los Asesores externos y la Empresa de Vigilancia Judicial; todo lo anterior, con el fin de hacer seguimientos a las actuaciones que se realizan en los procesos judiciales. Para agosto de 2018 contamos con  106 procesos en curso de los cuales 90 son a favor de la ELC y 16 en contra</t>
  </si>
  <si>
    <t>La Oficina Asesora Jurídica realiza un control mensual de procesos a través de la pagina de la Rama Judicial, contrastado con la información suministrada por los Asesores externos y la Empresa de Vigilancia Judicial; todo lo anterior, con el fin de hacer seguimientos a las actuaciones que se realizan en los procesos judiciales. Para septiembre de 2018 contamos con  106 procesos en curso de los cuales 90 son a favor de la ELC y 16 en contra</t>
  </si>
  <si>
    <t>Minimo de condenas en contra de la Empresa de Licores de Cundinamarca.</t>
  </si>
  <si>
    <t>8.2.2.</t>
  </si>
  <si>
    <t>Contestación derechos de petición, solicitud de Información y Expedición de copias.</t>
  </si>
  <si>
    <t>Proyectar con calidad y oportunidad, revisar, firmar y hacer seguimiento al envio de las respuestas a los derechos de petición.</t>
  </si>
  <si>
    <t>(((Tiempo limite de respuesta - Tiempo real de respuesta)+Tiempo Limite)/Tiempo Limite)* 100</t>
  </si>
  <si>
    <t>Durante el mes de enero de 2018 la Oficina Asesora Juridica no recibió derechos de petición.</t>
  </si>
  <si>
    <t>La Oficina Asesora Juridica en aras de atender con calidad y oportunidad las solicitudes elevadas ante la Empresa, realiza el seguimiento y control de los derechos de petición radicados en la secretaría de la oficina, estableciendo su fecha vencimiento para contestar en oportunidad. De igual manera es impotante señalar que para dar respuesta de fondo, completa y con calidad a todas las solciitudes que se reciben en la Oficina, se realiza una revisión periodica de la normatividad expedida a nivel nacional departamental. Durante el mes de febrero de 2018 la Oficina Asesora Juridica contesto 4 derechos de petición dentro del termino legal señalado para tal fin. (15 dias, Art 14, ley 1755 de 2012)</t>
  </si>
  <si>
    <t>La Oficina Asesora Juridica en aras de atender con calidad y oportunidad las solicitudes elevadas ante la Empresa, realiza el seguimiento y control de los derechos de petición radicados en la secretaría de la oficina, estableciendo su fecha vencimiento para contestar en oportunidad. De igual manera es impotante señalar que para dar respuesta de fondo, completa y con calidad a todas las solciitudes que se reciben en la Oficina, se realiza una revisión periodica de la normatividad expedida a nivel nacional y departamental. Durante el mes de marzo de 2018 la Oficina Asesora Juridica contesto 1 derecho de petición dentro del termino legal señalado para tal fin. (15 dias, Art 14, ley 1755 de 2012)</t>
  </si>
  <si>
    <t>La Oficina Asesora Juridica en aras de atender con calidad y oportunidad las solicitudes elevadas ante la Empresa, realiza el seguimiento y control de los derechos de petición radicados en la secretaría de la oficina, estableciendo su fecha vencimiento para contestar en oportunidad. De igual manera es impotante señalar que para dar respuesta de fondo, completa y con calidad a todas las solciitudes que se reciben en la Oficina, se realiza una revisión periodica de la normatividad expedida a nivel nacional y departamental. Durante el mes de abril de 2018 la Oficina Asesora Juridica contesto 5 derechos de petición dentro del termino legal señalado para tal fin. (15 dias, Art 14, ley 1755 de 2012)</t>
  </si>
  <si>
    <t>La Oficina Asesora Juridica en aras de atender con calidad y oportunidad las solicitudes elevadas ante la Empresa, realiza el seguimiento y control de los derechos de petición radicados en la secretaría de la oficina, estableciendo su fecha vencimiento para contestar en oportunidad. De igual manera es impotante señalar que para dar respuesta de fondo, completa y con calidad a todas las solciitudes que se reciben en la Oficina, se realiza una revisión periodica de la normatividad expedida a nivel nacional y departamental. Durante el mes de mayo de 2018 la Oficina Asesora Juridica contesto 2 derechos de petición dentro del termino legal señalado para tal fin. (15 dias, Art 14, ley 1755 de 2012)</t>
  </si>
  <si>
    <t>La Oficina Asesora Juridica en aras de atender con calidad y oportunidad las solicitudes elevadas ante la Empresa, realiza el seguimiento y control de los derechos de petición radicados en la secretaría de la oficina, estableciendo su fecha vencimiento para contestar en oportunidad. De igual manera es impotante señalar que para dar respuesta de fondo, completa y con calidad a todas las solciitudes que se reciben en la Oficina, se realiza una revisión periodica de la normatividad expedida a nivel nacional y departamental. Durante el mes de junio de 2018 la Oficina Asesora Juridica contesto 4 derechos de petición dentro del termino legal señalado para tal fin. (15 dias, Art 14, ley 1755 de 2012)</t>
  </si>
  <si>
    <t>La Oficina Asesora Juridica en aras de atender con calidad y oportunidad las solicitudes elevadas ante la Empresa, realiza el seguimiento y control de los derechos de petición radicados en la secretaría de la oficina, estableciendo su fecha vencimiento para contestar en oportunidad. De igual manera es impotante señalar que para dar respuesta de fondo, completa y con calidad a todas las solciitudes que se reciben en la Oficina, se realiza una revisión periodica de la normatividad expedida a nivel nacional y departamental. Durante el mes de julio de 2018 la Oficina Asesora Juridica contesto 3 derechos de petición dentro del termino legal señalado para tal fin. (15 dias, Art 14, ley 1755 de 2012)</t>
  </si>
  <si>
    <t>La Oficina Asesora Juridica en aras de atender con calidad y oportunidad las solicitudes elevadas ante la Empresa, realiza el seguimiento y control de los derechos de petición radicados en la secretaría de la oficina, estableciendo su fecha vencimiento para contestar en oportunidad. De igual manera es impotante señalar que para dar respuesta de fondo, completa y con calidad a todas las solciitudes que se reciben en la Oficina, se realiza una revisión periodica de la normatividad expedida a nivel nacional y departamental. Durante el mes de agosto de 2018 la Oficina Asesora Juridica contesto 1 derecho de petición dentro del termino legal señalado para tal fin. (15 dias, Art 14, ley 1755 de 2012)</t>
  </si>
  <si>
    <t>La Oficina Asesora Juridica en aras de atender con calidad y oportunidad las solicitudes elevadas ante la Empresa, realiza el seguimiento y control de los derechos de petición radicados en la secretaría de la oficina, estableciendo su fecha vencimiento para contestar en oportunidad. De igual manera es impotante señalar que para dar respuesta de fondo, completa y con calidad a todas las solciitudes que se reciben en la Oficina, se realiza una revisión periodica de la normatividad expedida a nivel nacional y departamental. Durante el mes de septiembre de 2018 no se redicaron derechos de petición en la Oficina Asesora Juridica.</t>
  </si>
  <si>
    <t>Aumentar la eficiencia en el bimestre.</t>
  </si>
  <si>
    <t>Control de Marcas y Patentes.</t>
  </si>
  <si>
    <t>8.3.1.</t>
  </si>
  <si>
    <t>Defensa de marca.</t>
  </si>
  <si>
    <t>Ejercer la defensa contra la competencia desleal, practicas restrictivas de la competencia, y cualquier otra forma de vulneración comercial de las marcas de la Empresa de Licores de Cundinamarca.</t>
  </si>
  <si>
    <t>((Número de procesos y actuaciones administrativas realizadas / Número de procesos y actuaciones administrativas solicitadas y/o requeridas)*100).</t>
  </si>
  <si>
    <t xml:space="preserve">Semestral </t>
  </si>
  <si>
    <t>Con el fin de ejercer la defensa contra la competencia desleal, practicas restrictivas de la competencia y cualquier otra forma de vulneración comercial de las marcas de la Empresa de Licores de Cundinamarca, la Oficina Asesora Jurídica realiza una revisión mensual a la Gacetas de Propiedad Industrial expedidas por la Superintendencia de Industria y Comercio, con el fin de verificar que no se hayan registrado marcas que afecten contra los intereses de la Empresa; de igual manera se realizan actividades de vigilancia al entorno digital, que comprende medios de comunicación como televisión, radio y redes sociales, para prevenir el uso de marcas registradas por la Empresa. Durante el mes de enero de 2018, efectuada la verificación antes descrita, no se fue necesario realizar acciones para contrarrestar practicas de compentencia desleal.</t>
  </si>
  <si>
    <t>Con el fin de ejercer la defensa contra la competencia desleal, practicas restrictivas de la competencia y cualquier otra forma de vulneración comercial de las marcas de la Empresa de Licores de Cundinamarca, la Oficina Asesora Jurídica realiza una revisión mensual a la Gacetas de Propiedad Industrial expedidas por la Superintendencia de Industria y Comercio, con el fin de verificar que no se hayan registrado marcas que afecten contra los intereses de la Empresa; de igual manera se realizan actividades de vigilancia al entorno digital, que comprende medios de comunicación como televisión, radio y redes sociales, para prevenir el uso de marcas registradas por la Empresa. Durante el mes de Febrero de 2018 se remitieron peticiones a la Fabrica de Licores de Antioquia, Buchanan’s y Cerveceria Bavaria con el fin de solicitarle que cesen sus actividades publicitarias que continuamente atentan contra los derechos marcarios cuya titularidad esta en cabeza de la Empresa de Licores de Cundinamarca y se realizo capacitación sobre competencia desleal a los trabajadores de REPCO el 27 de febrero.</t>
  </si>
  <si>
    <t>Con el fin de ejercer la defensa contra la competencia desleal, practicas restrictivas de la competencia y cualquier otra forma de vulneración comercial de las marcas de la Empresa de Licores de Cundinamarca, la Oficina Asesora Jurídica realiza una revisión mensual a la Gacetas de Propiedad Industrial expedidas por la Superintendencia de Industria y Comercio, con el fin de verificar que no se hayan registrado marcas que afecten contra los intereses de la Empresa; de igual manera se realizan actividades de vigilancia al entorno digital, que comprende medios de comunicación como televisión, radio y redes sociales, para prevenir el uso de marcas registradas por la Empresa. Durante el mes de marzo de 2018, efectuada la verificación antes descrita, no se fue necesario realizar acciones para contrarrestar practicas de compentencia desleal, no obstante se realizó capacitación a los trabajadores de la subgerencia comercial y juridica sobre competencia desleal.</t>
  </si>
  <si>
    <t>Con el fin de ejercer la defensa contra la competencia desleal, practicas restrictivas de la competencia y cualquier otra forma de vulneración comercial de las marcas de la Empresa de Licores de Cundinamarca, la Oficina Asesora Jurídica realiza una revisión mensual a la Gacetas de Propiedad Industrial expedidas por la Superintendencia de Industria y Comercio, con el fin de verificar que no se hayan registrado marcas que afecten contra los intereses de la Empresa; de igual manera se realizan actividades de vigilancia al entorno digital, que comprende medios de comunicación como televisión, radio y redes sociales, para prevenir el uso de marcas registradas por la Empresa. Durante el mes de abril de 2018 se reiteraron las peticiones a la Fabrica de Licores de Antioquia, Buchanan’s y Cerveceria Bavaria con el fin de solicitarle que cesen sus actividades publicitarias que continuamente atentan contra los derechos marcarios cuya titularidad esta en cabeza de la Empresa de Licores de Cundinamarca.</t>
  </si>
  <si>
    <t xml:space="preserve">Con el fin de ejercer la defensa contra la competencia desleal, practicas restrictivas de la competencia y cualquier otra forma de vulneración comercial de las marcas de la Empresa de Licores de Cundinamarca, la Oficina Asesora Jurídica realiza una revisión mensual a la Gacetas de Propiedad Industrial expedidas por la Superintendencia de Industria y Comercio, con el fin de verificar que no se hayan registrado marcas que afecten contra los intereses de la Empresa; de igual manera se realizan actividades de vigilancia al entorno digital, que comprende medios de comunicación como televisión, radio y redes sociales, para prevenir el uso de marcas registradas por la Empresa. Durante el mes de mayo de 2018,  se envió comunicación a REPCO por la cancelación del evento I Love Bogotá por la  afectación de la marca Néctar, se realizó reunión el 7 de mayo de 2018 respecto del Contrato de Distribución frente al contrato de Agencia Mercantil, de igual manera tuvo lugar una reunión para discutir las acciones frente a la terminación del contrato ELC- REPCO y evaluación de alternativas legales para la distribución de los productos de la ELC en el territorio nacional el 25 de mayo de 2018, se reiteró el  requerimiento a Coldeportes  por el caso Jaguares, y se solicitó a la Cámara de Comercio de Bogotá, eliminación de la ELC en RUES y CCB.
</t>
  </si>
  <si>
    <t>Con el fin de ejercer la defensa contra la competencia desleal, practicas restrictivas de la competencia y cualquier otra forma de vulneración comercial de las marcas de la Empresa de Licores de Cundinamarca, la Oficina Asesora Jurídica realiza una revisión mensual a la Gacetas de Propiedad Industrial expedidas por la Superintendencia de Industria y Comercio, con el fin de verificar que no se hayan registrado marcas que afecten contra los intereses de la Empresa; de igual manera se realizan actividades de vigilancia al entorno digital, que comprende medios de comunicación como televisión, radio y redes sociales, para prevenir el uso de marcas registradas por la Empresa. Durante el mes de junio de 2018, se realizó reunion el 7 de junio de  respecto de los requisitos de etiquetado a nivel nacional (INVIMA) y en Estados Unidos (COLA) para los productos de la ELC, Reunión realizada el 26 de junio de 2018 respecto del Registro Nacional de Bases de Datos de la Superintendencia de Industria y Comercio y sobre la Certificación de Buenas Prácticas de Manufactura ante el Invima, concepto, Etiquetado para exportación a Estados Unidos, se solicitó concepto respecto de los requisitos de etiquetado Panamá - Costa Rica y se revisó la Invitación y estudios previos para Ecuador, y del cuestionario del Registro Nacional de Base de Datos Información sobre registros Sanitarios para Exportar a USA, se envió comunicación por las Violaciones del Convenio Interadministrativo ELC y FLA y se revisaron los requisitos para Certificación de Buenas Prácticas de Manufactura BPM para la elaboración de rones.</t>
  </si>
  <si>
    <t>No se requirió realizar ninguna acción de defensa</t>
  </si>
  <si>
    <t>Con el fin de ejercer la defensa contra la competencia desleal, practicas restrictivas de la competencia y cualquier otra forma de vulneración comercial de las marcas de la Empresa de Licores de Cundinamarca, la Oficina Asesora Jurídica realiza una revisión mensual a la Gacetas de Propiedad Industrial expedidas por la Superintendencia de Industria y Comercio, con el fin de verificar que no se hayan registrado marcas que afecten contra los intereses de la Empresa; de igual manera se realizan actividades de vigilancia al entorno digital, que comprende medios de comunicación como televisión, radio y redes sociales, para prevenir el uso de marcas registradas por la Empresa. Durante el mes de septiembre de 2018, Se requirió a Bavaria S.A para que le pusiera fin a sus actos violatorios de los derechos de la ELC, por su campaña publicitaria #ActituddeCampeones</t>
  </si>
  <si>
    <t>Mitigar al 100%, los efectos de la competencia desleal.</t>
  </si>
  <si>
    <t>8.3.</t>
  </si>
  <si>
    <t>8.3.2.</t>
  </si>
  <si>
    <t>Registro de marcas.</t>
  </si>
  <si>
    <t>Medir el nivel de cumplimiento de solicitudes de control de marcas y patentes atendidas con respecto a las solicitudes ejecutadas.</t>
  </si>
  <si>
    <t>((Número de registros realizados en oportunidad/ Número de registros solicitados)*100).</t>
  </si>
  <si>
    <t>Oficina Asesora Jurídica, Subgerencia Comercial, Subgerencia Técnica y Contratista.</t>
  </si>
  <si>
    <t>Durante el mes de enero de 2018, no se hizo necesaria la solicitud o renovación de marcas o registros sanitarios.</t>
  </si>
  <si>
    <t xml:space="preserve">La Oficina Asesora Juridica cuenta con una base de datos a través de la cual es posible determinar que registros sanitarios, marcas, nombres o lemas comerciales, se encuentran próximos a vencerse; Ejecutado el seguimiento antes mencionado, durante el mes de febrero se solicitó a través de memorando a la Subgerencia Comercial  su aprobación para renovar 14 marcas y un registro sanitario del licor anizado aguardiente sin azucar 180 grados, juntos con los documentos soporte. </t>
  </si>
  <si>
    <t>Durante el mes de marzo de 2018, no se hizo necesaria la solicitud o renovación de marcas o registros sanitarios.</t>
  </si>
  <si>
    <t>La Oficina Asesora Juridica cuenta con una base de datos a través de la cual es posible determinar que registros sanitarios, marcas, nombres o lemas comerciales, se encuentran próximos a vencerse; Ejecutado el seguimiento antes mencionado, durante el mes de abril se solicitó la renovación de 1 dominio y 2 marcas.</t>
  </si>
  <si>
    <t>La Oficina Asesora Juridica cuenta con una base de datos a través de la cual es posible determinar que registros sanitarios, marcas, nombres o lemas comerciales, se encuentran próximos a vencerse; Ejecutado el seguimiento antes mencionado, durante el mes de mayo se solicitó la renovación de 9 dominios y 7 marcas.</t>
  </si>
  <si>
    <t>La Oficina Asesora Juridica cuenta con una base de datos a través de la cual es posible determinar que registros sanitarios, marcas, nombres o lemas comerciales, se encuentran próximos a vencerse; Ejecutado el seguimiento antes mencionado, durante el mes de junio se solicitó la renovación de 2 etiquetas.</t>
  </si>
  <si>
    <t xml:space="preserve">Dentro del periodo julio-septiembre de este año no se han hecho renovaciones de signos distintivos ante la SIC. Sin embargo, de acuerdo con el "Informe No. 6 de Propiedad Intelectual", se hicieron 17 renovaciones de dominios de Internet
180grados.co
aguardiente-nectar.co
aguardiente.co
aguardiente180.co
aguardientecolombia.co
aguardientenectarverde.co
licoreracundinamarca.co
nectar-azul.co
nectar-club.co
nectar-rojo.co
nectar-verde.co
nectarrojo.co
ron-santafe.co
ronnidodecondores.co
ronparamus.co
ronsantafereservaexclusiva.co
trescumbres.co
</t>
  </si>
  <si>
    <t>9.</t>
  </si>
  <si>
    <t xml:space="preserve">GESTIÓN TIC. </t>
  </si>
  <si>
    <t>9.1.</t>
  </si>
  <si>
    <t>Sistemas de Información.</t>
  </si>
  <si>
    <t>9.1.1.</t>
  </si>
  <si>
    <t xml:space="preserve">Soporte plataforma tecnológica. </t>
  </si>
  <si>
    <t xml:space="preserve">Mantener la infraestructura  de Redes y Sistemas de información y Comunicación, sin fallas, cortes ni interrupciones del servicio y responder oportunamente a las solicitudes o incidencia reportadas por el usuario.  </t>
  </si>
  <si>
    <t>((No de requerimientos atendidos oportunamente (atendidos  máximo en 2 dias) / No de requerimientos solicitados)*100),</t>
  </si>
  <si>
    <t>Oficina asesora de planeaión y sistemas de información (CARLOS BAUTISTA).</t>
  </si>
  <si>
    <t>Semanal.</t>
  </si>
  <si>
    <t xml:space="preserve">Se vienen atendiendo las solicitudes y requerimientos que han sido reportados en la Mesa de Ayuda. Para el mes de enero se reportaron (42) insidentes en la plataforma los cuales fueron atendidas oportunamente en su totalidad. Se viene realizando un levantamiento de los requerimientos mas frecuentes para así poder dar una solución efectiva para este tipo de casos. </t>
  </si>
  <si>
    <t xml:space="preserve">Para el mes de febrero se reportaron en la Mesa de Ayuda (77) solicitudes de las cuales se atendieron en oportunidad (74). Las restantes solicitudes tuvieron que ser escaladas a un soporte de segundo nivel debido a que se debian realizar tareas especificas por diferentes especialistas en el área del requerimiento. Se realizo un seguimiento para dar cumplimiento total a las solicitudes. </t>
  </si>
  <si>
    <t xml:space="preserve">Para el mes de marzo se reportaron (48) solicitudes en la Mesa de Ayuda de las cuales se atendieron oportunamente (45) solicitudes. Esto debido a que se presentaron requerimientos que debian ser escalados a soporte de segundo nivel y de los cuales se programaron para realizarlos durante la aplicación de los mantenimientos preventivos programados. </t>
  </si>
  <si>
    <t xml:space="preserve">Para el mes de abril se reportaron (33) solicitudes en la Mesa de Ayuda de las cuales se atendieron oportunamente (32) solicitudes. Esto debido a que se presentaron requerimientos que debian ser escalados a soporte de segundo nivel y de los cuales se programaron para realizarlos durante la aplicación de los mantenimientos preventivos programados. </t>
  </si>
  <si>
    <t xml:space="preserve">Para el mes de mayo se reportaron (33) solicitudes en la Mesa de Ayuda de las cuales se atendieron oportunamente (32) solicitudes. Esto debido a que se presentaron requerimientos que debian ser escalados a soporte de segundo nivel y de los cuales se programaron para realizarlos durante la aplicación de los mantenimientos preventivos programados. </t>
  </si>
  <si>
    <t>Para el mes de mayo se reportaron (22) solicitudes en la Mesa de Ayuda de las cuales se atendieron oportunamente (22) solicitudes, lo cual es favorable para la gestión TIC de la entidad, esto teniendo en cuenta que la infraestructura tecnologica de la entidad, se encuentra funcionando de manera optima por la gestión.</t>
  </si>
  <si>
    <t xml:space="preserve">Se vienen atendiendo las solicitudes y requerimientos que han sido reportados en la Mesa de Ayuda. Para el mes de enero se reportaron (26) insidentes en la plataforma los cuales fueron atendidas oportunamente en su totalidad. Se viene realizando un levantamiento de los requerimientos mas frecuentes para así poder dar una solución efectiva para este tipo de casos. </t>
  </si>
  <si>
    <t xml:space="preserve">Se vienen atendiendo las solicitudes y requerimientos que han sido reportados en la Mesa de Ayuda. Para el mes de enero se reportaron (38) insidentes en la plataforma los cuales fueron atendidas oportunamente en su totalidad. Se viene realizando un levantamiento de los requerimientos mas frecuentes para así poder dar una solución efectiva para este tipo de casos. </t>
  </si>
  <si>
    <t xml:space="preserve">Para el mes de febrero se reportaron en la Mesa de Ayuda (41) solicitudes de las cuales se atendieron en oportunidad (38). Las restantes solicitudes tuvieron que ser escaladas a un soporte de segundo nivel debido a que se debian realizar tareas especificas por diferentes especialistas en el área del requerimiento, pendite de la compra de suministros y respuestos. Se realizo un seguimiento para dar cumplimiento total a las solicitudes. </t>
  </si>
  <si>
    <t xml:space="preserve"> &gt;= 80%</t>
  </si>
  <si>
    <t>9.1.2.</t>
  </si>
  <si>
    <t>Sostenibildad del sistema de información SAP.</t>
  </si>
  <si>
    <t>Garantizar la sostenibilidad de cada uno de los módulos del  sistema de información SAP y  Revisar y controlar el estatus de cada uno de los modulos de ERP-SAP, con el fin de garantiza su correcto funcionamiento.</t>
  </si>
  <si>
    <t>(No. de módulos sin requerimientos y/o fallas /No.total de módulos)*100.</t>
  </si>
  <si>
    <t>Oficina asesora de planeaión y sistemas de información  (CONTRATISTA SAP).</t>
  </si>
  <si>
    <t xml:space="preserve">Se esta realizando acompañamiento constante a los usuarios de todos los modulos con el fin de establecer cuales de los requerimientos han sido de manera recurrente, con el fin de establecer medidas que mitiguen esta solicitudes, a cierre de este mes se presentaban con requerimientos por parte de los siguientes modulos PSM(IVA Descontable) WM(cierre del plan de Choque), FI (Correccion de reportes, cierre de año contable) </t>
  </si>
  <si>
    <t xml:space="preserve">Se da por cerrado el proyecto de WM denominado plan de Choque, es importante resaltar que ya los usuarios del almacen general, realizan todos los movimientos de entrada y salida a produccion se el sistema SAP actuamente tenemos requerimientos en los siguientes modulos  PSM(IVA Descontable, reclasificacion de Pospre de Ingresos), FI (Redefinicion de Leger principal, impuesto del alcohol para procesos de produccion, medios magneticos distritales) </t>
  </si>
  <si>
    <t xml:space="preserve">Se establecio cronograma y fecha de inicio para el Small proyect para la redifinicion de leger principal bajo resolucion 414. adicionalmente se han atendido en sitio los requerimientos de los usuarios, esto con el fin de reducir los tiempos de respuesta  los siguientes modulos  PSM(IVA Descontable, reclasificacion de Pospre de Ingresos), FI (Inicio de Ejcucion de Small Proyect Redefinicion de Leger principal, impuesto del alcohol para procesos de produccion, medios magneticos distritales, medios Magneticos DIAN) </t>
  </si>
  <si>
    <t>Se dio inicio al Small Proyect para la definicion de ledger principal bajo resolucion 414. Se inician actividades de configuracion y pruebas unitarias, en el modulo de PSM se realizan las pruebas integrales del informe para el registro del IVA descontable. se realiza la correccion del error que presento el RP 5020180001 asociado a la caja menor.</t>
  </si>
  <si>
    <t>En El Modulo de FI, se continua con el desarrollo de las pruebas integrales del Small Proyect de NIIF, adicionalmente se esta realizando el desarrollo para el registro del impuesto de participacion del Alcohol. En el modulo de PSM se esta en proceso de revision de las inconsistencias de la ejecucion Pasiva.</t>
  </si>
  <si>
    <t>Termina el Small Proyect de NIIF, esta en ajuste el reporte ZFI220 de acuerdo a lo estipulado por la DIAN. En el modulo de PSM se estan realizando ajustes a los reportes de acuerdo a las solicitudes del usuario.</t>
  </si>
  <si>
    <t xml:space="preserve">Se establece el cronograma para la implementacion del modulo PM, los campos de accion  son: reparaciones locativas,vehiculos, mantenimientos de equipos de la plataforma teconologica. se realizo acompañamientos constantes a los usuarios directos del modulo PM. se realiza reunion de socialicazacion para el desarrollo de la actividad, </t>
  </si>
  <si>
    <t xml:space="preserve">Se convoca a reunion para el levantamiento de informacion de lo activos nesesarios para mantenimiento. Se establece formato para ser diligenciado, de esta manera se cosolidara la informacion requerida en para el cargue masivo de informacion </t>
  </si>
  <si>
    <t>se realiza estudio de nesecidades de acuerdo al inventario, para determinar los equipos a los cuales se les dara ingreso al modulo PM</t>
  </si>
  <si>
    <t>&lt;30%</t>
  </si>
  <si>
    <t>9.1.3.</t>
  </si>
  <si>
    <t>Actualización y acceso a pagina web e intranet.</t>
  </si>
  <si>
    <t xml:space="preserve">Garantizar la actualización periodica de la información disponible en la pagina web de la empresa e intranet y el acceso a todos los usuarios. </t>
  </si>
  <si>
    <t>(No. De elementos disponibles en pagina  e intranet  de acuerdo a la normatividad vigente y/requerimientos/ No. Total de elementos que deben estar publicados en   pagina  e intranet  de acuerdo a la normatividad vigente y/requerimientos)*100</t>
  </si>
  <si>
    <t>Oficina asesora de planeaión y sistemas de información  (CARLOS RINCON - DIANA BLANCO).</t>
  </si>
  <si>
    <t xml:space="preserve">Se están adelantando las acciones pertinentes con el fin de lograr el cumplimiento de la aplicabilidad de la Ley 1712 del 2014, Decreto103 de 2015 y Resolución  MinTIC 3564 de 2015, esto teniendo en cuenta las revisiones técnicas establecidas por la Secretaria TIC del departamento, estableciendo así un mecanismo de apoyo y cumunocación para el logro del objetivo principal el cual es de generar datos de calidad para los usuarios de la información. </t>
  </si>
  <si>
    <t>9.1.4.</t>
  </si>
  <si>
    <t xml:space="preserve">Mantener la plataforma tecnológica de la Empresa de Licores de Cundinamarca en optimo funcionamiento. Con el fin de generar productividad y estabilidad en cada uno de los procesos establecidos por la entidad. </t>
  </si>
  <si>
    <t>(Total Mantenimientos ejecutados / Total mantenimientos preventivos programados)*100</t>
  </si>
  <si>
    <t xml:space="preserve">Oficina asesora de planeaión y sistemas de información. </t>
  </si>
  <si>
    <t>10.</t>
  </si>
  <si>
    <t>GESTIÓN DE COMUNICACIONES INSTITUCIONALES.</t>
  </si>
  <si>
    <t>10.1.</t>
  </si>
  <si>
    <t>Comunciación Corporativa.</t>
  </si>
  <si>
    <t>10.1.1.</t>
  </si>
  <si>
    <t>Uso de piezas comunicativas.</t>
  </si>
  <si>
    <t>Controlar y supervisar el uso de la imagen corporativa en piezas comunicativas.</t>
  </si>
  <si>
    <t>Efectividad.</t>
  </si>
  <si>
    <t>Número de requerimientos recepcionados/ Número de requerimientos atendidos.</t>
  </si>
  <si>
    <t xml:space="preserve">NO APLICA </t>
  </si>
  <si>
    <t>Semestral.</t>
  </si>
  <si>
    <t>NO APLICA</t>
  </si>
  <si>
    <t>70 - 100%</t>
  </si>
  <si>
    <t>10.1.2.</t>
  </si>
  <si>
    <t>Proyección comunicación corporativa.</t>
  </si>
  <si>
    <t>Realizar comunicados corporativos que muestren la gestión y logros de la Empresa de Licores de Cundinamarca.</t>
  </si>
  <si>
    <t>Número de comunicados proyectados/ Número comunicados publicados.</t>
  </si>
  <si>
    <t>Comunicaciones Externas.</t>
  </si>
  <si>
    <t>10.2.1.</t>
  </si>
  <si>
    <t>Digitales de Imagen.</t>
  </si>
  <si>
    <t>Medir el nivel de nuevos seguidores en las diferentes redes sociales, esto con el fin de conocer el posicionamiento de la marca frente a la competencia.</t>
  </si>
  <si>
    <t>Número de nuevos seguidores en el periodo / Número de seguidores reportados en el periodo anterior.</t>
  </si>
  <si>
    <t xml:space="preserve"> Periodio anterior: 200.000/Periodo nuevo: 241.862 = 80%</t>
  </si>
  <si>
    <t xml:space="preserve">Se incrementaron los seguidores en redes sociales mediante, estratgias de impulso y compra que genraron interacción y llamado de nuevos segudiores incrementabndo en un 80% </t>
  </si>
  <si>
    <t>Se incrementaron los seguidores en redes sociales mediante, estratgias de impulso y compra que generaron interacción y llamado de nuevos segudiores incrementabndo en un 80%</t>
  </si>
  <si>
    <t>Se incrementaron los seguidores en redes sociales mediante, estratgias de impulso y compra que genraron interacción y llamado de nuevos segudiores incrementabndo en un 80%</t>
  </si>
  <si>
    <t xml:space="preserve">El fundionamiento de la cuenta del departamento de Tolima y el Atlantico han impulsado la interacción y el crecimiento de segidores </t>
  </si>
  <si>
    <t xml:space="preserve">Sehan impulsado diferentes redes como intagram en la que duplicamos nuestro porcentaje de seguidores </t>
  </si>
  <si>
    <t>10.2.2.</t>
  </si>
  <si>
    <t>Posicionamiento marcas regional y nacional.</t>
  </si>
  <si>
    <t>Difusión y aceptación con fines de publicaciones de campañas comerciales de las marcas de la Empresa de Licores de Cundinamarca.</t>
  </si>
  <si>
    <t>Número de solicitudes de publicación / Número de publicaciones difundidas.</t>
  </si>
  <si>
    <t>Solictudes de publicación:8/Publicaiones difundidas:8 =100%</t>
  </si>
  <si>
    <t xml:space="preserve">De los 8 comunicados emitidos por la empresa en el trimiestre, logramos la difusión y publicación en medio de los 8 pr medio de free press lo que equivale a un resultado del 100% </t>
  </si>
  <si>
    <t>De los 8 comunicados emitidos por la empresa en el trimiestre, logramos la difusión y publicación en medio de los 8 pr medio de free press lo que equivale a un resultado del 100%</t>
  </si>
  <si>
    <t>11.</t>
  </si>
  <si>
    <t>GESTIÓN DE MANTENIMIENTO.</t>
  </si>
  <si>
    <t>Mantenimiento Preventivo / Correctivo</t>
  </si>
  <si>
    <t>11.1.1.</t>
  </si>
  <si>
    <t>MTBF (Tiempo medio entre fallas) por línea.</t>
  </si>
  <si>
    <t>Determinar el tiempo promedio entre paros no programados de cada linea de producciòn.</t>
  </si>
  <si>
    <t>Tiempo disponible- Tiempo de inactividad/ Número de fallas.</t>
  </si>
  <si>
    <t>Minutos.</t>
  </si>
  <si>
    <t>En el mes de enero segun su indicador (MTBF) el tiempo promedio entre paros no programados de cada linea de producciòn es de 603,75 minutos, obteniendo una disponibilidad del 88,7%. segun este indicador (DISPONIBILIDAD) corresponde al tiempo que una maquina esta disponible durante un tiempo definido de trabajo. MTBF/(MTBF+MTTR)= Tiempo de operación/(tiempo de operación + tiempo de reparación) =Disponibilidad.</t>
  </si>
  <si>
    <t>En el mes de febrero segun su indicador (MTBF) el tiempo promedio entre paros no programados de cada linea de producciòn es de 604,02 minutos, obteniendo una disponibilidad del 90,4%. segun este indicador (DISPONIBILIDAD) corresponde al tiempo que una maquina esta disponible durante un tiempo definido de trabajo. MTBF/(MTBF+MTTR)= Tiempo de operación/(tiempo de operación + tiempo de reparación) =Disponibilidad.</t>
  </si>
  <si>
    <t>En el mes de marzo segun su indicador (MTBF) el tiempo promedio entre paros no programados de cada linea de producciòn es de 596,48 minutos, obteniendo una disponibilidad del 90,5%. segun este indicador (DISPONIBILIDAD) corresponde al tiempo que una maquina esta disponible durante un tiempo definido de trabajo. MTBF/(MTBF+MTTR)= Tiempo de operación/(tiempo de operación + tiempo de reparación) =Disponibilidad.</t>
  </si>
  <si>
    <t>En el mes de abril segun su indicador (MTBF) el tiempo promedio entre paros no programados de cada linea de producciòn es de 649,26 minutos, obteniendo una disponibilidad del 93%. segun este indicador (DISPONIBILIDAD) corresponde al tiempo que una maquina esta disponible durante un tiempo definido de trabajo. MTBF/(MTBF+MTTR)= Tiempo de operación/(tiempo de operación + tiempo de reparación) =Disponibilidad.</t>
  </si>
  <si>
    <t>En el mes de mayo segun su indicador (MTBF) el tiempo promedio entre paros no programados de cada linea de producciòn es de 819,21 minutos, obteniendo una disponibilidad del 93,9%. segun este indicador (DISPONIBILIDAD) corresponde al tiempo que una maquina esta disponible durante un tiempo definido de trabajo. MTBF/(MTBF+MTTR)= Tiempo de operación/(tiempo de operación + tiempo de reparación) =Disponibilidad.</t>
  </si>
  <si>
    <t>En el mes de junio segun su indicador (MTBF) el tiempo promedio entre paros no programados de cada linea de producciòn es de 917,62 minutos, obteniendo una disponibilidad del 93,1%. segun este indicador (DISPONIBILIDAD) corresponde al tiempo que una maquina esta disponible durante un tiempo definido de trabajo. MTBF/(MTBF+MTTR)= Tiempo de operación/(tiempo de operación + tiempo de reparación) =Disponibilidad.</t>
  </si>
  <si>
    <t>En el mes de julio segun su indicador (MTBF) el tiempo promedio entre paros no programados de cada linea de producciòn es de 699,98 minutos, obteniendo una disponibilidad del 92,6%. segun este indicador (DISPONIBILIDAD) corresponde al tiempo que una maquina esta disponible durante un tiempo definido de trabajo. MTBF/(MTBF+MTTR)= Tiempo de operación/(tiempo de operación + tiempo de reparación) =Disponibilidad.</t>
  </si>
  <si>
    <t>En el mes de Agosto segun su indicador (MTBF) el tiempo promedio entre paros no programados de cada linea de producciòn es de 1128,23 minutos, obteniendo una disponibilidad del 94,63%. segun este indicador (DISPONIBILIDAD) corresponde al tiempo que una maquina esta disponible durante un tiempo definido de trabajo. MTBF/(MTBF+MTTR)= Tiempo de operación/(tiempo de operación + tiempo de reparación) =Disponibilidad.</t>
  </si>
  <si>
    <t>En el mes de Septiembre segun su indicador (MTBF) el tiempo promedio entre paros no programados de cada linea de producciòn es de 881,14 minutos, obteniendo una disponibilidad del 94,5%. segun este indicador (DISPONIBILIDAD) corresponde al tiempo que una maquina esta disponible durante un tiempo definido de trabajo. MTBF/(MTBF+MTTR)= Tiempo de operación/(tiempo de operación + tiempo de reparación) =Disponibilidad.</t>
  </si>
  <si>
    <t>85 - 100%</t>
  </si>
  <si>
    <t>11.1.2.</t>
  </si>
  <si>
    <t>MTTR (Tiempo medio para reparar) por línea.</t>
  </si>
  <si>
    <t>Determinar en promedio en cuanto tiempo se resuelve al paro no programado.</t>
  </si>
  <si>
    <t>Tiempo total de innactividad / Nùmero de Fallas.</t>
  </si>
  <si>
    <t>En el mes de enero segun su indicador (MTBR) el tiempo promedio de reparacion es de 76,25 minutos, obteniendo una disponibilidad del 88,7%. segun este indicador (DISPONIBILIDAD) corresponde al tiempo que una maquina esta disponible durante un tiempo definido de trabajo. MTBF/(MTBF+MTTR)= Tiempo de operación/(tiempo de operación + tiempo de reparación) =Disponibilidad.</t>
  </si>
  <si>
    <t>En el mes de febrero segun su indicador (MTBR) el tiempo promedio de reparacion es de 63,83 minutos, obteniendo una disponibilidad del 88,7%. segun este indicador (DISPONIBILIDAD) corresponde al tiempo que una maquina esta disponible durante un tiempo definido de trabajo. MTBF/(MTBF+MTTR)= Tiempo de operación/(tiempo de operación + tiempo de reparación) =Disponibilidad.</t>
  </si>
  <si>
    <t>En el mes de marzo segun su indicador (MTBR) el tiempo promedio de reparacion es de 62,27 minutos, obteniendo una disponibilidad del 88,7%. segun este indicador (DISPONIBILIDAD) corresponde al tiempo que una maquina esta disponible durante un tiempo definido de trabajo. MTBF/(MTBF+MTTR)= Tiempo de operación/(tiempo de operación + tiempo de reparación) =Disponibilidad.</t>
  </si>
  <si>
    <t>En el mes de abril segun su indicador (MTTR) el tiempo promedio de reparacion es de 49,02 minutos, obteniendo una disponibilidad del 93%. segun este indicador (DISPONIBILIDAD) corresponde al tiempo que una maquina esta disponible durante un tiempo definido de trabajo. MTBF/(MTBF+MTTR)= Tiempo de operación/(tiempo de operación + tiempo de reparación) =Disponibilidad.</t>
  </si>
  <si>
    <t>En el mes de mayo segun su indicador (MTTR) el tiempo promedio de reparacion es de 53,13 minutos, obteniendo una disponibilidad del 93,9%. segun este indicador (DISPONIBILIDAD) corresponde al tiempo que una maquina esta disponible durante un tiempo definido de trabajo. MTBF/(MTBF+MTTR)= Tiempo de operación/(tiempo de operación + tiempo de reparación) =Disponibilidad.</t>
  </si>
  <si>
    <t>En el mes de junio segun su indicador (MTTR) el tiempo promedio de reparacion es de 67,68 minutos, obteniendo una disponibilidad del 93,1%. segun este indicador (DISPONIBILIDAD) corresponde al tiempo que una maquina esta disponible durante un tiempo definido de trabajo. MTBF/(MTBF+MTTR)= Tiempo de operación/(tiempo de operación + tiempo de reparación) =Disponibilidad.</t>
  </si>
  <si>
    <t>En el mes de julio segun su indicador (MTTR) el tiempo promedio de reparacion es de 56,12 minutos, obteniendo una disponibilidad del 92,6%. segun este indicador (DISPONIBILIDAD) corresponde al tiempo que una maquina esta disponible durante un tiempo definido de trabajo. MTBF/(MTBF+MTTR)= Tiempo de operación/(tiempo de operación + tiempo de reparación) =Disponibilidad.</t>
  </si>
  <si>
    <t>En el mes de Agosto segun su indicador (MTTR) el tiempo promedio de reparacion es de 64,08 minutos, obteniendo una disponibilidad del 94,63%. segun este indicador (DISPONIBILIDAD) corresponde al tiempo que una maquina esta disponible durante un tiempo definido de trabajo. MTBF/(MTBF+MTTR)= Tiempo de operación/(tiempo de operación + tiempo de reparación) =Disponibilidad.</t>
  </si>
  <si>
    <t>En el mes de Septiembre segun su indicador (MTTR) el tiempo promedio de reparacion es de 67,68 minutos, obteniendo una disponibilidad del 94,5%. segun este indicador (DISPONIBILIDAD) corresponde al tiempo que una maquina esta disponible durante un tiempo definido de trabajo. MTBF/(MTBF+MTTR)= Tiempo de operación/(tiempo de operación + tiempo de reparación) =Disponibilidad.</t>
  </si>
  <si>
    <t>12.</t>
  </si>
  <si>
    <t>GESTIÓN CONTRACTUAL.</t>
  </si>
  <si>
    <t>12.1.</t>
  </si>
  <si>
    <t>Adquisición de bienes y servicios y comercialización de los productos de la Empresa de Licores de Cundinamarca.</t>
  </si>
  <si>
    <t>12.1.1.</t>
  </si>
  <si>
    <t>Indice de costos/ gastos para la dependencia Oficina gestión contractual.</t>
  </si>
  <si>
    <t>Costos y/o gastos totales incurridos por la Oficina gestión contractual/ Costos y/o gastos totales incurridos por la ELC.</t>
  </si>
  <si>
    <t>De acuerdo con los resultados obtenidos y notificados por la Gestión Financiera de la entidad, la participación en los costos y/o gastos incurridos de la gestión contractual es del 3,71% para el mes de abril del presente año.</t>
  </si>
  <si>
    <t>De acuerdo con los resultados obtenidos y notificados por la Gestión Financiera de la entidad, la participación en los costos y/o gastos incurridos de la gestión contractual es del 2,45% para el mes de mayo del presente año.</t>
  </si>
  <si>
    <t>De acuerdo con los resultados obtenidos y notificados por la Gestión Financiera de la entidad, la participación en los costos y/o gastos incurridos de la gestión contractual es del 0,60% para el mes de junio del presente año.</t>
  </si>
  <si>
    <t>12.1.2.</t>
  </si>
  <si>
    <t>Procesos contractuales.</t>
  </si>
  <si>
    <t>Medir el nivel de cumplimiento de los procesos solicitados. (Compra)</t>
  </si>
  <si>
    <t>No. procesos realizados /No. Procesos solicitados</t>
  </si>
  <si>
    <t>70-100%</t>
  </si>
  <si>
    <t>12.1.3.</t>
  </si>
  <si>
    <t>Medir el nivel de cumplimiento de los procesos solicitados. (Venta)</t>
  </si>
  <si>
    <t>13.</t>
  </si>
  <si>
    <t>GESTIÓN AMBIENTAL.</t>
  </si>
  <si>
    <t>Control Ambiental.</t>
  </si>
  <si>
    <t>13.1.1.</t>
  </si>
  <si>
    <t>Consumo de Agua.</t>
  </si>
  <si>
    <t xml:space="preserve">Establecer las variaciones de consumo de agua entre dos periodos  comparables, con el fin de evaluar el consumo eficiente del recurso. </t>
  </si>
  <si>
    <t>Consumo de Agua en m3 en el año 2 - consumo de agua en el año1 .</t>
  </si>
  <si>
    <t>M3</t>
  </si>
  <si>
    <t xml:space="preserve">Con respecto al consumo de agua entre enero de 2018 y enero 2017, se  evidencia que  hubo un incrementó para el año 2, dado a que para el año 1 no se contaba con todo del personal que existe en la actualidad en las instalaciones de la planta de Cota y adicionalmente la producción era baja por temas inherente a temporalidad y no se tenia en marcha la totalidad de lineas de envasado. </t>
  </si>
  <si>
    <t xml:space="preserve">Con respecto al consumo de agua entre el periodo dos del año 2018 y el periodo dos del año 2017, se  evidencia que  hubo un incrementó para el año 2, dado que para el año 1 no se contaba con todo del personal que existe hoy en día en las instalaciones de la planta de Cota y  la producción era baja esto teniendo en cuenta el proceso de desmantelamiento y montaje de las lineas en las instaliaciones de la planta de producción ubicada en el municipio en mención. </t>
  </si>
  <si>
    <t>Con respecto al consumo de agua entre el tercer periodo del año 2 y el tercer periodo del año 1, se  evidencia que  hubo un incrementó de 3,2 veces más para el año 2, frente al año 1, ya que para este tercer periodo de la vigencia 2018 se traslado la totalidad del personal requerido a la Empresa de Licores de Cundinamarca ubicada en el municipio de Cota, esto con el fin de dar alcance a las necesidades productivas de la entidad.</t>
  </si>
  <si>
    <t xml:space="preserve">Con respecto al consumo de agua entre el cuarto periodo del año 2 y el cuarto periodo del año 1, se  evidencia que  hubo un incrementó para el año 2, con respecto al año 1, ya que para este cuarto periodo de la vigencia 2018 hubo una mayor producción, frente al año 1pues solo se trabajaron en 3 lineas de producción. </t>
  </si>
  <si>
    <t>Con respecto al consumo de agua entre el quinto  periodo del año 2 y el quinto periodo del año 1,  se evidencia que  hubo un incrementó para el año 2, frente al año 1, ya que para este quinto periodo de la vigencia 2018 ya se encontraban todas las líneas de producción operando en la planta de cota.</t>
  </si>
  <si>
    <t>Con respecto al consumo de agua entre el sexto periodo del año 2 y el sexto periodo del año 1, se  presenta nuevamente un incrementó para el año 2,  con respecto al año 1, ya que para este sexto periodo de la vigencia 2018, todas las lineas de producción se encontraban en operación en la planta de Cota.</t>
  </si>
  <si>
    <t>Con respecto al consumo de agua entre el septimo periodo del año 2 y el septimo  periodo del año 1, se  presenta diminución, esto quiere decir que frente a la meta establecida los resultados son favorables para el indicador consumo agua.</t>
  </si>
  <si>
    <t>Con respecto al consumo de agua entre el octavo periodo del año 2 y el octavo  periodo del año 1, se  presenta diminución, esto quiere decir que frente a la meta establecida los resultados son favorables para el indicador consumo agua.</t>
  </si>
  <si>
    <t>Con respecto al consumo de agua entre el noveno periodo del año 2 y el noveno  periodo del año 1, se  presenta diminución, esto quiere decir que frente a la meta establecida los resultados son favorables para el indicador consumo agua.</t>
  </si>
  <si>
    <t>13.1.2.</t>
  </si>
  <si>
    <t>Medir  la cantidad de vertimiento industrial , con el fin de determinar el efluente generado en el proceso productivo.</t>
  </si>
  <si>
    <t xml:space="preserve">De acuerdo  al resultado obtenido se concluye que  para el mes de enero por cada unidad producida se genera 0,01 litros de agua residual industrial. </t>
  </si>
  <si>
    <t xml:space="preserve">De acuerdo  al resultado obtenido se concluye que  para el mes de febrero por cada unidad producida se genera 0,018 litros de agua residual industrial. </t>
  </si>
  <si>
    <t xml:space="preserve">De acuerdo  al resultado obtenido se concluye que  para el mes de marzo por cada unidad producida se genera 0,033 litros de agua residual industrial. </t>
  </si>
  <si>
    <t xml:space="preserve">De acuerdo  al resultado obtenido se concluye que  para el mes de abril por cada unidad producida se genera 0,040 litros de agua residual industrial. </t>
  </si>
  <si>
    <t xml:space="preserve">De acuerdo  al resultado obtenido se concluye que  para el mes de mayo por cada unidad producida se genera 0,040 litros de agua residual industrial. </t>
  </si>
  <si>
    <t xml:space="preserve">De acuerdo  al resultado obtenido se concluye que  para el mes de juniol por cada unidad producida se genera 0,042 litros de agua residual industrial. </t>
  </si>
  <si>
    <t xml:space="preserve">De acuerdo  al resultado obtenido se concluye que  para el mes de juliopor cada unidad producida se genera 0,052 litros de agua residual industrial. </t>
  </si>
  <si>
    <t xml:space="preserve">De acuerdo  al resultado obtenido se concluye que  para el mes de agosto por cada unidad producida se genera 0,050 litros de agua residual industrial. </t>
  </si>
  <si>
    <t xml:space="preserve">De acuerdo  al resultado obtenido se concluye que  para el mes de septiembre por cada unidad producida se genera 0,050 litros de agua residual industrial. </t>
  </si>
  <si>
    <t>13.1.3.</t>
  </si>
  <si>
    <t>Residuos aprovechables generados mensualmente.</t>
  </si>
  <si>
    <t>Kg</t>
  </si>
  <si>
    <t>De acuerdo al resultado obtenido se evidencia que en el  mes de enero hubo reducción en la generación de los residuos aprovechables, dado a que solo se trabajo con una línea de producción.</t>
  </si>
  <si>
    <t>De acuerdo al resultado obtenido se evidencia que en el  mes de febrero de 2018,  hubo una variación frente al periodo de enero de 2018, en la generación de los residuos aprovechables, esto debido al aumento de producción conforme al giro normal del negocio.</t>
  </si>
  <si>
    <t>De acuerdo al resultado obtenido se evidencia que entre los meses de febrero y marzo de 2018, no hay variación esto debido a  las estimación planteadas conforme a la operación de la Empresa de Licores de Cundinamarca, teniendo en cuenta que no fue posible efectuar las mediciones en cada periodo por temas contractuales.</t>
  </si>
  <si>
    <t xml:space="preserve">Según los resultados obtenidos, se concluye que para el mes de abril de 2018,  hubo un incremento en la generación de residuos aprovechables, debido a la producción, ya que son directamente proporcionales. </t>
  </si>
  <si>
    <t xml:space="preserve">Según los resultados obtenidos, se concluye que para el mes de mayo de 2018,  hubo un incremento en la generación de residuos aprovechables, debido a la producción, ya que son directamente proporcionales. </t>
  </si>
  <si>
    <t xml:space="preserve">Según los resultados obtenidos, se concluye que para el mes de junio de 2018,  se presento una reducción en la generación de residuos aprovechables, al reducirse la producción automaticamente se redu la generación de residuos aprovechables. </t>
  </si>
  <si>
    <t>Según los resultados obtenidos se puede visualizar que se genero un incremento de 121 puntos porcentuales frente al periodo inmediatemnte anterior, lo cual evidencia resultados favorables para el indicador residuos aprovechables.</t>
  </si>
  <si>
    <t>Según los resultados obtenidos se puede visualizar que se genero un incremento de 116 puntos porcentuales frente al periodo inmediatemnte anterior, lo cual evidencia resultados favorables para el indicador residuos aprovechables.</t>
  </si>
  <si>
    <t>Según los resultados obtenidos se puede visualizar que se genero un incremento de 108 puntos porcentuales frente al periodo inmediatemnte anterior, lo cual evidencia resultados favorables para el indicador residuos aprovechables.</t>
  </si>
  <si>
    <t>Frente al historico incrementar del 5% anual (sujeto a producción).</t>
  </si>
  <si>
    <t>13.1.4.</t>
  </si>
  <si>
    <t>Residuos Peligrosos generados mensualmente.</t>
  </si>
  <si>
    <t>Reducir la generación de residuos peligrosos, con respecto al periodo anterior.</t>
  </si>
  <si>
    <t>Kg de Residuos Peligrosos generados en el periodo actual - Kg de residuos peligrosos generados en el periodo anterior.</t>
  </si>
  <si>
    <t>De acuerdo al resultado obtenido se evidencia que en el  mes de enero hubo reducción en la generación de los residuos peligrosos, lo cual obedece a la baja producto por temas inherentes a temporalidad, ahora bien frente al impacto ambiental es favorable ya que se generan menos emisiones al ambiente.</t>
  </si>
  <si>
    <t>De acuerdo al resultado obtenido se evidencia que para el mes de febrero de 2018, hubo un incremento  con respecto al  mes anterior en la generación de residuos peligrosos, ya que la producción retoma su giro normal de negocio. Ahora bien, en cuanto al impacto ambiental es importante tener en cuenta que es directamente proporcional a la planificación de producción.</t>
  </si>
  <si>
    <t>De acuerdo al resultado obtenido se evidencia que para el mes de marzo de 2018, hubo una disminución frente al mes anterior en la generación de residuos peligrosos, dado que para el mes de febrero se presento una eventualidad con respecto a un residuo reportado por la gestión administrativa ( Boquilla para ceramica con color), la cual corresponde a 195 kg. En promedio la entidad está generado al mes entre 180 - 200 kg lo cual hace posible el logro de la meta establecida en el presente indicador.</t>
  </si>
  <si>
    <t xml:space="preserve">De acuerdo al resultado obtenido se evidencia que para el mes de abril de 2018, hubo un incremento en la generación de residuos peligrosos frente al mes anterior, debido al cambio de placas filtrantes para llegar a cabo el proceso de filtración del ron. </t>
  </si>
  <si>
    <t xml:space="preserve">De acuerdo al resultado obtenido se evidencia que para el mes de mayo de 2018, hubo un incremento en la generación de residuos peligrosos frente al mes anterior, debido al cambio de placas filtrantes para llegar a cabo el proceso de filtración del ron y los residuos sólidos contaminados generados en el área de la sala de envasado.  </t>
  </si>
  <si>
    <t>De acuerdo al resultado obtenido se evidencia que para el mes de junio de 2018, se presento una reducción en la generación de residuos peligrosos frente al mes anterior, debido a la baja producción por falta de estibas.</t>
  </si>
  <si>
    <t>De acuerdo al resultado obtenido se evidencia que para el mes de julio de 2018, se presento una reducción en la generación de residuos peligrosos frente al mes anterior, debido a la baja producción por falta de estibas.</t>
  </si>
  <si>
    <t xml:space="preserve">De acuerdo al resultado obtenido se evidencia que para el mes de agosto de 2018, se presento un aumento en la generación de residuos peligrosos frente al mes anterior, debido a que la producción aumentó. </t>
  </si>
  <si>
    <t>De acuerdo al resultado obtenido se evidencia que para el mes de septiembre de 2018, se presento una reducción en la generación de residuos peligrosos frente al mes anterior, debido a la baja producción por falta de estibas y alcohol.</t>
  </si>
  <si>
    <t>PROCESOS DE EVALUACION Y CONTROL.</t>
  </si>
  <si>
    <t>14.</t>
  </si>
  <si>
    <t>CONTROL INTERNO.</t>
  </si>
  <si>
    <t>14.1.</t>
  </si>
  <si>
    <t>Evaluación del Control Interno.</t>
  </si>
  <si>
    <t>14.1.1.</t>
  </si>
  <si>
    <t>Indice de costos / gastos para la dependencia de Control Interno.</t>
  </si>
  <si>
    <t>Determinar el grado de eficiencia con que se emplean los recursos(costos/ gastos incurridos), en la Oficina de Control Interno.</t>
  </si>
  <si>
    <t>((Costos y/o gastos totales incurridos por la Oficina de Control Interno  / Costos y/o gastos totales incurridos por la ELC)*100).</t>
  </si>
  <si>
    <t>Oficina de Control Interno.</t>
  </si>
  <si>
    <t xml:space="preserve">Se puede apreciar que los costos y/o gastos de la oficina de Control Interno, continuan siendo una minima parte con relacion a los costos de la empresa. Se cuenta con una excelente eficiencia en el manejo de los recursos puesto que se disminuyo la carga prestaciónas, ya que la oficina se disminuyo a (02) personas, por cuenta del plan de retiro voluntario. </t>
  </si>
  <si>
    <t xml:space="preserve">Se puede apreciar que el indicador baja con respecto al mes anterior y continuan siendo una minima parte con relacion a los costos de la empresa en la vigencia. Se cuenta con una excelente eficiencia en el manejo de los recursos teniendo en cuenta que a partir de este mes de contratan (02) profesionales de apoyo al area. </t>
  </si>
  <si>
    <t xml:space="preserve">Se mantiene una tendencia a la baja en este indicador, los gastos del area son continuos y no representa ningun costo o gasto adicional, la ELC por el contrario si presenta un aumento considerable en sus gastos. Se puede apreciar que los costos y/o gastos de la oficina de Control Interno, continuan siendo una minima parte con relacion a los costos de la empresa.  </t>
  </si>
  <si>
    <t>Se evidencia que la participación en los costos y/o gastos incurridos por la gestión de control interno es minima, lo cual no afecta significativamente las decisiones a tomar por el preparador de la información de la entidad.</t>
  </si>
  <si>
    <t>Se evidencia que la participación para el periodo de mayo, en los costos y/o gastos incurridos por la gestión de control interno es minima, lo cual no afecta significativamente las decisiones a tomar por el preparador de la información de la entidad.</t>
  </si>
  <si>
    <t>Se evidencia que la participación para el periodo de junio, en los costos y/o gastos incurridos por la gestión de control interno es minima, lo cual no afecta significativamente las decisiones a tomar por el preparador de la información de la entidad.</t>
  </si>
  <si>
    <t>Este indicador disminuye teniendo en cuenta los gastos gde la oficina, sin embargo en la comparacion de los gastos de la oficina esta disminución no se refleja debido a que los gastos  de la emprsa aumentaron.</t>
  </si>
  <si>
    <t xml:space="preserve">En este mes los gastos de la oficina aumentaron un minimo debido a nuevos contratos realizados en el area de control inetrno, la variacion no se refleja teniendo en cuenta que los gastos de la empresa tambien aumentaron considerablemente. </t>
  </si>
  <si>
    <t xml:space="preserve">En este mes los gastos de la oficina aumentaron un minimo debido a la contratación de un nuevo profesional para el area de control inetrno, la variacion no se refleja teniendo en cuenta que los gastos de la empresa tambien aumentaron considerablemente. </t>
  </si>
  <si>
    <t>14.1.2.</t>
  </si>
  <si>
    <t>Nivel de Cumplimiento de las Auditorías Programadas.</t>
  </si>
  <si>
    <t>Medir porcentualmente el nivel de cumplimiento de las auditorías programadas.</t>
  </si>
  <si>
    <t>((Auditorías Realizadas / Auditorías Programadas) * 100).</t>
  </si>
  <si>
    <t>Se efectua medición anual, pero se reporta trimestralmente  a la Oficina Asesora de Planeación y Sistemas de Información.</t>
  </si>
  <si>
    <t>No aplica 
Se realiza información Trimestral</t>
  </si>
  <si>
    <t>Teniendo en cuenta plan anual de auditorías vigencia 2018, aprobado con fecha 7 de febrero de 2018, Se realizarán 10 auditorias (una por area). 
En el primer trimestre se adelanta Auditoria de la Subdireccion comercial iniciando 21 de Febrero.</t>
  </si>
  <si>
    <t>Se inicia Auditoria de la Subgerencia de Talento humano el 18 de Abril de 2018.</t>
  </si>
  <si>
    <t>Se inicia Auditoria de la Subgerencia Administrativa el 31 de Mayo de 2018.</t>
  </si>
  <si>
    <t xml:space="preserve">Se realiza cierre de auditoria Subgerencia de Talento humano. Asesoria para elaboración de planes de mejoramiento. </t>
  </si>
  <si>
    <t xml:space="preserve">Se Continua con Auditoria Administrativa. 
</t>
  </si>
  <si>
    <t xml:space="preserve">Se Finaliza la auditoria de la Subgerencia Administrativa y se inicia la auditoria de las Subgerencias Financiera y Técnica. </t>
  </si>
  <si>
    <t xml:space="preserve">100%
(7 Auditorias realizadas/ 7 auditorias programadas) </t>
  </si>
  <si>
    <t xml:space="preserve">100%
Cumplimiento de plan Anual de auditoria
(10 Auditorias en la Vigencia) </t>
  </si>
  <si>
    <t>14.1.3.</t>
  </si>
  <si>
    <t>Seguimiento al Mapa de Riesgos.</t>
  </si>
  <si>
    <t>Medir porcentualmente el seguimiento a los mapas de riesgos por procesos de las dependencias de la ELC.</t>
  </si>
  <si>
    <t>(( Número de Seguimientos Realizados / Número de Dependencias de la ELC) * 100).</t>
  </si>
  <si>
    <t>Semestral, pero se reporta trimestralmente a la Oficina Asesora de Planeación y Sistemas de Información.</t>
  </si>
  <si>
    <t>No se reporta actividad en el periodo de observacion, teniendo en cuenta que el mapa de riesgos institucional se encuentra en construccion, actualizacion y aprobacion por parte de la oficina de Planeacion y sistemas de informacion y que el Mapa de riesgos actual se encuentra basado en las antiguas instalaciones de la ELC. 
Sin embargo se realiza seguimiento a las mesas de trabajo que se ha realizado por parte de la Oficina de planeacion y sistemas de la informacion reflejando un 89% de avances en la actualización.</t>
  </si>
  <si>
    <t xml:space="preserve">Se realiza seguimiento al mapa de riesgos de la ELC con corte primer tirmestre de 2018, Se debe tener en cuenta que el nuevo mapa de riesgos se encontraba en construccion por lo tanto la evaluacion se viene realizando tardia. </t>
  </si>
  <si>
    <t>Se realiza evaluación trimestral</t>
  </si>
  <si>
    <t xml:space="preserve">0%
No se cuenta con linea base, teniendo en cuenta que la ultima calificación realizada al Mapa de Riesgos  institucional fue en Agosto 2017 y que este se encuentra en construccion por cambio de Sede a Cota. </t>
  </si>
  <si>
    <t xml:space="preserve">100% 
4 Evaluaciones realizadas al mapa de riesgos </t>
  </si>
  <si>
    <t>14.1.4.</t>
  </si>
  <si>
    <t>Seguimiento al Plan de mejora continua.</t>
  </si>
  <si>
    <t>Medir porcentualmente el seguimiento al plan de mejora continua por procesos de las dependencias de la ELC.</t>
  </si>
  <si>
    <t>No aplica 
Evaluación anual</t>
  </si>
  <si>
    <t>No aplica evaluación anual</t>
  </si>
  <si>
    <t>100%
Se realiza seguimiento a Plan de mejora continua por dependencias 2017.</t>
  </si>
  <si>
    <t>100% 
Seguimientos realizados a todos planes de mejoramiento en ejecusion</t>
  </si>
  <si>
    <t>14.1.5.</t>
  </si>
  <si>
    <t>Acompañamientos y solicitudes a nivel directivo.</t>
  </si>
  <si>
    <t>Brindar el acompañamiento solicitado por parte de las dependencias, garantizando la transparencia en los procesos, procedimientos y temas relacionados con la gestión de la Empresa de Licores de Cundinamarca.</t>
  </si>
  <si>
    <t xml:space="preserve">((Número de acompañamientos realizados/Número de acompañamientos solicitados en la vigencia) * 100). </t>
  </si>
  <si>
    <t>Se realiza acompañamiento a (1) cierre de Contratacion Invitacion abierta No. 002 de 2018. 
Se garantiza a los proponentes la transparencia y oportunidad en el proceso según acta de recibido de ofertas.</t>
  </si>
  <si>
    <t>No se presentan solicitudes de acompañamiento en este periodo</t>
  </si>
  <si>
    <t>Se realiza acompañamiento a cierres de Contratacion así: 
- Invitacion abierta No. 004-2018 (20 Marzo 2018)
- Invitacion abierta No. 005-2018 (22 Marzo 2018)
Se garantiza a los proponentes la transparencia y oportunidad en el proceso según acta de recibido de ofertas.
Se realiza acompañamiento a Subgerencia de talento humano a (1)  elecciones COPASST, siendo testigos  y garantizando el proceso de votaciones realizado.</t>
  </si>
  <si>
    <t>Se realiza acompañamiento a (2) cierres de Contratacion: 
Invitacion abierta 006 de 27 de abril de 2018 
Invitacion abierta 007 de 26 de abril de  2018 
Se garantiza a los proponentes la transparencia y oportunidad en el proceso según acta de recibido de ofertas.
- Se realiza Inspeccion ocular elementos en custodia del almacen General en Sede Bogotá (16 abril), segun solicitud realizada por Gerencia. 
Se revisa veracidad de informes de bajas entregados.</t>
  </si>
  <si>
    <t>Se realiza acompañamiento 
- Revision barriles y tafia Choconta (8 mayo)
Segun solicitud realizada por Gerencia. 
Se revisa estado del predio y barriles en existencia.
Se realiza acompañamiento a (01) cierre de Contratacion: 
Invitacion abierta 009 de 23 de mayo de 2018 
Se garantiza a los proponentes la transparencia y oportunidad en el proceso según acta de recibido de ofertas.</t>
  </si>
  <si>
    <t>Se realiza acompañamiento a (03) cierre de Contratacion: 
- Invitacion abierta 012 de 14 de junio de 2018 
- Invitación abierta 011 de 15 de junio 2018
- Invitación abierta 013 de 26 de junio 2018
Se garantiza a los proponentes la transparencia y oportunidad en el proceso según acta de recibido de ofertas.</t>
  </si>
  <si>
    <t xml:space="preserve">Se realiza acompañamiento a (04) cierre de Contratacion: 
- Invitacion abierta 018 de 25 de julio de 2018 
- Invitación abierta 017 de 30 de julio 2018
- Invitación abierta 016 de 30 de julio 2018
- Invitación abierta 015 de 30 de julio de 2018
Se garantiza a los proponentes la transparencia y oportunidad en el proceso según acta de recibido de ofertas.
Se realiza seguimiento a las tareas de la Subgerencia Comercial por medio de Comités Quincenales realizados. </t>
  </si>
  <si>
    <t xml:space="preserve">No se presentan solicitudes de acompañamiento en este periodo
Se realiza seguimiento a las tareas de la Subgerencia Comercial por medio de Comités Quincenales realizados. </t>
  </si>
  <si>
    <t xml:space="preserve">Se realiza acompañamiento a (02) cierre de Contratacion: 
- Invitacion abierta 020 de 03 de Septiembre de 2018 
- Invitacion a subasta inversa invitación abierta No. 020 de 2018.
En el periodo evaluado no se solicitaron acompañamientos adicionales a los que se realizan a la Subgerencia Comercial en Seguimiento de tareas de gerencia. </t>
  </si>
  <si>
    <t>100% 
Acompañar el total de las solicitudes recibidas</t>
  </si>
  <si>
    <t>14.1.6.</t>
  </si>
  <si>
    <t>Informes entes de control, inspección y vigilancia.</t>
  </si>
  <si>
    <t xml:space="preserve">Controlar que los responsables de rendir informes a los entes de control, inspección y vigilancia lo efectuen oportunamente con respecto a los terminos establecidos por los mismos. </t>
  </si>
  <si>
    <t>((Informes rendidos oportunamente / Total de informes por rendir)*100).</t>
  </si>
  <si>
    <t>Mensual, Trimestral y Anual.</t>
  </si>
  <si>
    <t xml:space="preserve">Se elabora listado Maestro de informes, se realiza seguimiento garantizando la presentacion oportuna de los informes de la ELC y evitando sanciones por la no presentación. 
En la vigencia se realizó envio de 10 informes en la entidad, y se revisa el envio según listado maestro elaborado. </t>
  </si>
  <si>
    <t>Se realiza seguimiento según  listado Maestro de informes, garantizando la presentacion oportuna de los informes de la ELC y evitando sanciones por la no presentación. 
En la vigencia se realizó envio de 13 informes en la entidad, según listado maestro elaborado.</t>
  </si>
  <si>
    <t>Se realiza seguimiento según  listado Maestro de informes, garantizando la presentacion oportuna de los informes de la ELC y evitando sanciones por la no presentación. 
En la vigencia se realizó envio de 10 informes en la entidad, según listado maestro elaborado.</t>
  </si>
  <si>
    <t>Se realiza seguimiento según  listado Maestro de informes, garantizando la presentacion oportuna de los informes de la ELC y evitando sanciones por la no presentación. 
En la vigencia se realizó envio de 15 informes en la entidad, según listado maestro elaborado</t>
  </si>
  <si>
    <t>Se realiza seguimiento según  listado Maestro de informes,  se adiciona los pagos obligatorios que debe realizar la Subgerencia financiera, garantizando la presentacion oportuna de los informes de la ELC y evitando sanciones por la no presentación. 
En la vigencia se realizó envio de 10 informes en la entidad, según listado maestro elaborado</t>
  </si>
  <si>
    <t>Se realiza seguimiento según  listado Maestro de informes,  se revisa la presentacion oportuna de los informes y pagos a realizar de la ELC y evitando sanciones por la no presentación de los mismos.  En la vigencia se realizó envio de 11 informes en la entidad, según listado maestro elaborado</t>
  </si>
  <si>
    <t xml:space="preserve">Se realiza seguimiento según  listado Maestro de informes y pagos, se realiza alerta previa iniciando mes y  se guimiento posterior al finalizar mes con el fin de revisar la entrega oportuna de los mismos, evitando sanciones por la no presentación de los mismos.  
En la vigencia se realizó envio de 11 informes y 7 pagos en la entidad, según listado maestro elaborado. 
La OCI realiza entrega de:
- Informe pormenorizado de CI.
- Informe de PQRS y Derechos de petición  - Informe de Austeridad del Gasto </t>
  </si>
  <si>
    <t xml:space="preserve">Se realiza seguimiento según  listado Maestro de informes y pagos, se realiza alerta previa iniciando mes y seguimiento posterior al finalizar mes con el fin de revisar la entrega oportuna de los mismos, evitando sanciones por la no presentación. 
En la vigencia se realizó envio de 7 informes y 3 pagos en la entidad, según listado maestro elaborado. 
La OCI realiza entrega de:
- Informe de seguimiento Plan Anticorrupción y atención al ciudadano. </t>
  </si>
  <si>
    <t xml:space="preserve">Se realiza seguimiento según  listado Maestro de informes y pagos, se realiza alerta previa iniciando mes y seguimiento posterior al finalizar mes con el fin de revisar la entrega oportuna de los mismos, evitando sanciones por la no presentación. 
En la vigencia se realizó envio de 7 informes y 7 pagos a diferentes entidades, según listado maestro elaborado. 
La OCI en la vigencia no realiza entrega de ningun informe de solicitud legal. </t>
  </si>
  <si>
    <t>100% 
Realizar la entrega oportuna de informes en la ELC</t>
  </si>
  <si>
    <t>15.</t>
  </si>
  <si>
    <t>CONTROL DE CALIDAD.</t>
  </si>
  <si>
    <t>15.1.</t>
  </si>
  <si>
    <t>Control de calidad en aprovisionamiento de materiales.</t>
  </si>
  <si>
    <t>15.1.1.</t>
  </si>
  <si>
    <t>Indice de Calidad.</t>
  </si>
  <si>
    <t>Verificar las especificaciones técnicas de los materiales recibidos para garantizar su conformidad antes de uso.</t>
  </si>
  <si>
    <t>Fórmulas generadas por el sistema información SAP, de acuerdo a los resultados obtenidos en las inspecciones y la ponderación que se establece para cada factor. Se revisa con la transacción MCXE.</t>
  </si>
  <si>
    <t>Subgerencia Técnica</t>
  </si>
  <si>
    <t>Este indice de calidad se vió afectado por un lote de inspección de un insumo que presentó variaciones en una de las variables pero que no impide su uso en el proceso productivo.</t>
  </si>
  <si>
    <t>15.1.2.</t>
  </si>
  <si>
    <t>Reclamaciones proveedores.</t>
  </si>
  <si>
    <t>Lograr que los materiales suministrados por los proveedores cumplan con las especificaciones técnicas exigidas por el ELC.</t>
  </si>
  <si>
    <t>Número de reclamaciones a proveedores en el semestre.</t>
  </si>
  <si>
    <t>Número</t>
  </si>
  <si>
    <t>Indicador de reporte semestral</t>
  </si>
  <si>
    <t>Se presentaron rechazos y reclamaciones a los proveedors de envases de vidrio, cajas de cartón corrugado, copa transparente, etiquetas y pegante.</t>
  </si>
  <si>
    <t>15.2.</t>
  </si>
  <si>
    <t>Control de calidad en procesos productivos y productos terminados.</t>
  </si>
  <si>
    <t>15.2.1</t>
  </si>
  <si>
    <t>Indice de calidad del proceso.</t>
  </si>
  <si>
    <t>Controlar los procesos de preparación y envasado de licores para garantizar que se cumpla con las especficaciones técnicas, exigidas por la Empresa de Licores de Cundinamarca.</t>
  </si>
  <si>
    <t>Fórmulas generadas por el sistema información SAP, de acuerdo con los resultados obtenidos en las inspecciones y la ponderación que se establece para cada factor. Se revisa con la transacción MCXE.</t>
  </si>
  <si>
    <t>Este indice de calidad se ve afectado por las no conformidades que se presentan durante el proceso productivo principalmente por problemas de etiquetado, nivel de llenado, sellados, unidades tetra pak golpeadas durante el envasado.</t>
  </si>
  <si>
    <t>Este indice de calidad se ve afectado por las no conformidades que se presentan durante el proceso productivo principalmente por problemas de etiquetado, nivel de llenado y conformación de paquetes.</t>
  </si>
  <si>
    <t>15.5.</t>
  </si>
  <si>
    <t>Control de calidad en ventas.</t>
  </si>
  <si>
    <t>15.5.1.</t>
  </si>
  <si>
    <t>Reclamaciones clientes.</t>
  </si>
  <si>
    <t>Medir el numero de reclamos recibidos en el semestre, con el fin de mitigar las causas de las no conformidades.</t>
  </si>
  <si>
    <t>Número de reclamaciones en el semestre.</t>
  </si>
  <si>
    <t>Durante este semestre se recibieron 76 comunicaciones de Repco donde se manifestaban posibles no conformidades por lo general organolépticas de unidades aisladas, cuya no conformidad no se evidenció en los análisis y al parecer se trata de atencion al cliente por parte del distribuidor.</t>
  </si>
  <si>
    <t>Control de Instrumentos y equipos de medición.</t>
  </si>
  <si>
    <t>Cumplimiento del Programa de Mantenimiento y/o verificación a Equipos Bajo Control Metrológico.</t>
  </si>
  <si>
    <t>Medir porcentualmente el cumplimiento del programa de mantenimiento y/o verificación de funcionalidad óptima a equipos bajo control metrológico.</t>
  </si>
  <si>
    <t>Cumplimiento del Programa de Mantenimiento y/o verificación a Equipos Bajo Control Metrológico = Número de mantenimientos Ejecutados / Número de Mantenimientos Programados * 100.</t>
  </si>
  <si>
    <t>Aunque se alcanza un valor en el rango establecido, no se alcanza el 100%, debido a  se observan oportunidades de mejora: 
-Caso de la habilitación de la caja menor para personal en misión.
-La oportunidad de acceso a consultor SAP del módulo PM para agilización de trámites y gestión de información mas adecuadamente.</t>
  </si>
  <si>
    <t xml:space="preserve">Gestión de instrumentos y equipos de medición. </t>
  </si>
  <si>
    <t>Nivel de Cumplimiento del Programa de Calibración.</t>
  </si>
  <si>
    <t>Medir porcentualmente el nivel de cumplimiento del programa de calibración.</t>
  </si>
  <si>
    <t>Nivel de Cumplimiento del Programa de Calibración = Número de Calibraciones Ejecutadas / Número de Calibraciones Programadas * 100.</t>
  </si>
  <si>
    <r>
      <t xml:space="preserve">Aunque se alcanza un valor en el rango establecido, no se alcanza el 100%, debido a  se observan oportunidades de mejora: 
-La oportunidad de acceso a consultor SAP del módulo PM para agilización de trámites y gestión de información mas adecuadamente. </t>
    </r>
    <r>
      <rPr>
        <b/>
        <i/>
        <sz val="12"/>
        <color rgb="FF000000"/>
        <rFont val="Arial"/>
        <family val="2"/>
      </rPr>
      <t>Caso puntual la visualización en conjunto de las fechas de intervención de los equipos bajo control metrológico.</t>
    </r>
  </si>
  <si>
    <t>16.</t>
  </si>
  <si>
    <t>CONTROL DISCIPLINARIO.</t>
  </si>
  <si>
    <t>16.1.</t>
  </si>
  <si>
    <t>Proceso Disciplinario.</t>
  </si>
  <si>
    <t>16.1.1.</t>
  </si>
  <si>
    <t>Indice de costos/ gastos para la dependencia de Control Disciplinario Interno.</t>
  </si>
  <si>
    <t>Determinar el grado de eficiencia con que se emplean los recursos(costos / gastos incurridos), en la Oficina de Control Disiciplinario Interno.</t>
  </si>
  <si>
    <t>((Costos y/o gastos totales incurridos por la Oficina de Control  Disciplinario Interno  / Costos y/o gastos totales incurridos por la ELC)*100).</t>
  </si>
  <si>
    <t>Oficina de Control Disciplinario Interno.</t>
  </si>
  <si>
    <t>Con respecto a los gastos incurridos por la entidad para el periodo de enero, la gestión de control interno no reporta una participación representativa, ni relavante la cual pueda influir en la toma de decisiones a nivel Empresa.</t>
  </si>
  <si>
    <t>Se infiere que entre el periodo de enero y febrero existe una variación del 0,62%, pero aun así no una participación que no incide en la toma de decisiones de la entidad.</t>
  </si>
  <si>
    <t>Los resultados arrojan una disminuación en la participación de los gastos totales de la Empresa de Licores de Cundinamarca, sin embargo se debe tener en cuenta el aumento de los gastos totales incurridos por la entidad para el periodo de marzo, los cuales obedecen a una variación procentual del 151,92% y absoluta de $ 2.257.236.769. pesos colombianos, por lo tanto se presenta la disminución del 0,72%, a lo cual la información no es relevante y no es capaz de influir en las decisiones del prepararador de la información.</t>
  </si>
  <si>
    <t>De la totalidad de los costos y/o gastos incurridos por la Empresa de Licores de Cundinamarca, la gestión de control interno disciplinario obtiene resultados de participación notificados por la gestión financiera del 2,76% para el periodo de abril del presente, participación que no es relevante en la toma de decisiones de la entidad.</t>
  </si>
  <si>
    <t>De la totalidad de los costos y/o gastos incurridos por la Empresa de Licores de Cundinamarca, la gestión de control interno disciplinario obtiene resultados de participación notificados por la gestión financiera del 1,35% para el periodo de mayo del presente, participación que no es relevante en la toma de decisiones de la entidad.</t>
  </si>
  <si>
    <t>De la totalidad de los costos y/o gastos incurridos por la Empresa de Licores de Cundinamarca, la gestión de control interno disciplinario obtiene resultados de participación notificados por la gestión financiera del 0,20% para el periodo de junio del presente, participación que no es relevante en la toma de decisiones de la entidad.</t>
  </si>
  <si>
    <t>16.1.2.</t>
  </si>
  <si>
    <t>Capacitaciones Ley 734 de 2002, Nuevo Código General Disiciplinario, Reglamento Interno de Trabajo de la Empresa de Licores de Cundinamarca y Estatuto Anticorrupción.</t>
  </si>
  <si>
    <t>Medir el nivel de cumplimiento de las capacitaciones programadas, con el fin de retroalimentar al personal que labora en la Empresa de Licores de Cundinamarca, esto con el objetivo de que los trabajadores conozcan los deberes, obligaciones, derechos, procedimientos y sanciones aplicables a ellos por el incumplimiento de sus funciones.</t>
  </si>
  <si>
    <t>((Capacitaciones Realizadas/Capacitaciones Solicitadas)*100.</t>
  </si>
  <si>
    <t>Se ha evidenciado el mayor conocimiento por parte de los trabajadores de la ELC, sobre el derecho disciplñinario asi como de sus obligaciones, deberes y derchos, lo que hapermitido reducir el numero de conductas que puedan ser constitutivas de faltas disciplinarias.</t>
  </si>
  <si>
    <t>16.1.3.</t>
  </si>
  <si>
    <t>Procesos disciplinarios.</t>
  </si>
  <si>
    <t>Investigar determinados comportamientos en los que incurra un trabajador oficial o funcionario público que afecte la función de la Empresa de Licores de Cundinamarca.</t>
  </si>
  <si>
    <t>(( Numero de procesos sustanciados/ nùmero de procesos que cursan en el despacho) *100.</t>
  </si>
  <si>
    <t>De acuerdo a los resultados obtenidos se puede evidenciar que el indicador muestra la eficiencia en terminos de gestión, lo cual es favorable frente a la meta establecida para el indicador Procesos Disiciplinarios.</t>
  </si>
  <si>
    <t>16.1.5.</t>
  </si>
  <si>
    <t>Capacitaciones a autoridades.</t>
  </si>
  <si>
    <t>Capacitar a las entidades administrastivas, judiciales y policiales, con el fin de luchar contra la adulteración de Licores, lo cual nos permitira una mayor eficacia en los operativos.</t>
  </si>
  <si>
    <t>((Número de capacitaciones efectuadas  /  Total capacitaciones solicitadas) *100).</t>
  </si>
  <si>
    <t>Por disposicion de la gerencia se esta capacitando un personal del SENA, para que sean capacitadores externos y se desplacen a todo el departamento, apoyar la gestion que hace la ELC, en capacitar las autoridades administrivas y judiales, lo que nos permitira llegar a mas lugares en menos tiempo.</t>
  </si>
  <si>
    <t xml:space="preserve">TIPO DE PROCESO </t>
  </si>
  <si>
    <t xml:space="preserve">MACRO PROCESO </t>
  </si>
  <si>
    <t>TOTAL INDICADORES</t>
  </si>
  <si>
    <t>1.Indice de costos / gastos para la dependencia Oficina asesora de planeación y sistemas de información. 
2.Presentacion informes institucionales.
3.Seguimiento y evaluación de plan estrategico. 
4.Formulación y evaluación de proyectos.</t>
  </si>
  <si>
    <t>ok</t>
  </si>
  <si>
    <t>1.Documentación y Actualización de procedimientos.
2.Asesorias.
3.Administrador del Riesgo.</t>
  </si>
  <si>
    <t>1.Indice de Gestion del recurso humano.
2.Paros Programados y No Programados en líneas de producción.
3.Bajas en líneas de Producción.
4.Recicles.
5.Producción de Aguardientes y Rones por presentaciòn para Cundinamarca.
6.Producción de aguardientes y rones por presentaciòn para otros departamentos y las fronteras Colombianas.
7.Producción de aguardientes y rones por presentaciòn para el exterior.</t>
  </si>
  <si>
    <t>1.Indice de costos y/o gastos para la dependencia Comercial. 
2.Variación en ventas por inversión en publicidad.
3.Seguimiento Plan anual de ventas.
4.Indice de cumplimiento de las Ventas Cund/Bgta.
5.Indice de cumplimiento de las Ventas Otros Departamentos.
6.Indice de cumplimiento de las Ventas Exterior.
7.Indice de cumplimiento en ventas de alcohol.</t>
  </si>
  <si>
    <t>1.Indice de costos / gastos para la Subgerencia Financiera.
2.Cumplimiento Ejecución Presupuestal de Ingresos.
3.Comportamiento de Compromisos Adquiridos Vs Reconocimientos.
4.Cumplimiento Ejecución Presupuestal de Gastos.
5.Razón Corriente.
6.Capital Neto de Trabajo.
7.Autonomia. 
8.Endeudamiento.
9.Rotación de inventarios.
10.Inventarios en existencia. 
11.Productividad Total. 
12.Indice de productividad del capital. 
13.Indice de productividad de mano de obra.
14.Indice de productividad de insumos intermedios.
15.Indice de productividad de materiales y suministros. 
16.Indice Dupont.
17.Ebitda.
18.Margen Operaciones de Utilidad.
19.Margen Neto de Utilidad.
20.Rendimiento de Patrimonio.</t>
  </si>
  <si>
    <t>1.Consumo papel.
2.Administración de Materiales Adquiridos.
3.Control de inventarios.
4.Relación de Inventarios.
5.Variaciones de Inventarios.
6.Nivel de Disposiciòn final de serie documental.
7.Nivel de Transferencias Primarias.
8.Indice de costos para la dependencia Administrativa.
9.Variación de Consumo de Combustible.
10.Nivel de Mantenimientos Locativos Atendidos.</t>
  </si>
  <si>
    <t>1.Indice de costos para la Gestión de Talento Humano.
2.Plan de capacitación.
3.Indice de Cumplimiento del Programa de Bienestar Social.
4.Novedades de Nomina.
5.Indice de no permanencia.
6.Indice de Frecuencia de Accidentes.
7.Indice de Cumplimiento del Programa de Seguridad y Salud en el trabajo.
8.Plan intervención clima laboral.</t>
  </si>
  <si>
    <t xml:space="preserve">1.Asesorías Jurídicas.
2.Representación Jurídica.
3.Contestación derechos de petición, solicitud de Información y Expedición de copias.
4.Defensa de marca.
5.Registro de marcas.
</t>
  </si>
  <si>
    <t>1.Soporte plataforma tecnológica. 
2.Sostenibildad del sistema de información SAP.
3.Actualización y acceso a pagina web e intranet.
4.Mantenimiento plataforma tecnologica.</t>
  </si>
  <si>
    <t>1.Uso de piezas comunicativas.
2.Proyección comunicación corporativa.
3.Digitales de Imagen.
4.Posicionamiento marcas regional y nacional.</t>
  </si>
  <si>
    <t>1.MTBF (Tiempo medio entre fallas) por línea.
2.MTTR (Tiempo medio para reparar) por línea.</t>
  </si>
  <si>
    <t>1.Indice de costos/ gastos para la dependencia Oficina gestión contractual.
2.Procesos contractuales (Compra).
3.Procesos contractuales (Venta).</t>
  </si>
  <si>
    <t>1.Consumo de Agua.
2.Cantidad de Vertimientos industriales Generados mensualmente.
3.Residuos aprovechables generados mensualmente.
4.Residuos Peligrosos generados mensualmente.</t>
  </si>
  <si>
    <t>1.Indice de costos / gastos para la dependencia de Control Interno.
2.Nivel de Cumplimiento de las Auditorías Programadas.
3.Seguimiento al Mapa de Riesgos.
4.Seguimiento al Plan de mejora continua.
5.Acompañamientos y solicitudes a nivel directivo.
6.Informes entes de control, inspección y vigilancia.</t>
  </si>
  <si>
    <t>1.Indice de Calidad.
2.Reclamaciones proveedores.
3.Indice de calidad del proceso.
4.Reclamaciones clientes.
5.Cumplimiento del Programa de Mantenimiento y/o verificación a Equipos Bajo Control Metrológico.
6.Nivel de Cumplimiento del Programa de Calibración.</t>
  </si>
  <si>
    <t>1.Indice de costos/ gastos para la dependencia de Control Disciplinario Interno.
2.Capacitaciones Ley 734 de 2002, Nuevo Código General Disiciplinario, Reglamento Interno de Trabajo de la Empresa de Licores de Cundinamarca y Estatuto Anticorrupción.
3.Procesos disciplinarios.
4.Capacitaciones a autoridades.</t>
  </si>
  <si>
    <t>Se efectuan las revisiones a la pagina oficial vigente, esto con el fin de establecer el cumplimiento de la normatividad establecida en ambito de transparencia y acceso de la información publica.</t>
  </si>
  <si>
    <t>Previa revisiones efectuadas en los meses precedentes, se remite información relativa a taxonomia a las gestiones TIC y Comercial, y al prestador de servicios IRIDIAN, esto con el de generar los resultados esperados en lo referente a cumplimiento de la normatividad establecida.</t>
  </si>
  <si>
    <t>De acuerdo a la información remitida y validada desde la vigencia 2017, se programa mesa de trabajo en conjunto con la gestión de comunicaciones institucionales y el prestador de servicios IRIDIAN, esto con el fin de validar los resultados de cumplimiento de la Ley 1712 del 06 de marzo de 2014.</t>
  </si>
  <si>
    <t>Los funcionarios asignados para dar alcance a cumplimiento de la Ley 1712 del 06 de marzo de 2014, asisten a capacitación Conectate con Gobierno Digital, esto con el fin de lograr retroalimentación a la gestión de comunicaciones institucionales y prestador de servicios IRIDIAN y lograr los entregables esperados para el proyecto relativo a estrategia digital.</t>
  </si>
  <si>
    <t>No se generan avances, lo cual obedece a falta de compromiso con respecto al proyecto referente a la estratégia digital de la entidad, por tanto se sugiere conforme a directrices emanadas por la SECTIC departamental conformar el grupo digital de la entidad formalmente mediante acto administrativo ( Se remite borrador de resolución ). Así mismo se remite la literatura que ayuda a fortalecer los conocimientos y adquirir habilidades en lo que respecta a la correcta publicación de cada una de las categorias establecidas.</t>
  </si>
  <si>
    <t>Se remite link https://www.dian.gov.co/atencionciudadano/Paginas/Transparencia.aspx, el cual sirve de modelo para generar los entregables esperados en ambito de transparencia y acceso de la información pública.</t>
  </si>
  <si>
    <t>Se lleva a cabo comités grupo digital los días 01 y 28 de agosto de 2018, con el fin de obtener los resultados esperados, pero tal y como se visualiza no se logran los objetivos y compromisos establecidos para los numerales 2.1 y 2.2, lo cual conlleva a desviación siginificativa frente a la meta establecida para el presente indicador.</t>
  </si>
  <si>
    <t>Se lleva a cabo reunión extraordinaria en conjunto con la gestión de control interno el día 25 de septiembre de 2018, con el fin de lograr proactividad en ambito de transparencia y acceso de la información pública, lo anterior teniendo en cuenta que no se da alcance a principios de Transparencia, buena fé, facilitación, no discriminanción, gratuidad, celeridad, eficacia, calidad de la información y responsabilidad del uso de la información, lo cual conlleva a limitaciones en lo que refiere a generación de entregables del proyecto Estratégia Digital Ley 1712 del 06 de marzo de 2014.</t>
  </si>
  <si>
    <t xml:space="preserve">Se lleva a cabo nuevamente reunión el día 01 de octubre de 2018 con funcionario de la firma prestadora de servicios en ambito de Ley de Transparencia y Acceso de la Información Pública IRIDIAN,  esto con el fin de lograr establecer finalmente comunicación efectiva y asertiva con el fin de generar los entregables esperados para el proyecto Estratégia Digital de la entidad, y por ende lograr los objetivos trazados en ambito de Ley 1712 del 06 de marzo de 2014.  </t>
  </si>
  <si>
    <t>Se genera reporte en el Sistema de Información para el registro, Seguimiento, Monitoreo y generación del índice de cumplimiento ITA de los sujetos obligados en la Ley 1712 de 2014, mediante reunión llevada a cabo el día 30 de noviembre de 2018, en donde se obtiene un avance de 1,6 puntos porcentuales, lo cual no es relavante frente a la meta establecida para el Indicador Actualización y acceso a pagina web e intranet, lo cual conlleva a generar las acciones correctivas pertinentes teniendo en cuenta la trazabilidad del proyecto y sus resultados adverso frente al deficiente compromiso para con el proyecto de implementación de la estrategia digital de la Empresa de Licores de Cundinamarca.</t>
  </si>
  <si>
    <r>
      <t xml:space="preserve">El Rol Gobierno Digital efectua las validaciones de cumplimiento pertinentes a la pagina oficial de la entidad los días 18 y 19 de diciembre de 2018, esto con el fin de generar oportunidad de mejora en ambito de Transparencia y Acceso de la Información Pública, así mismo se dispone en el drive del correo institucional </t>
    </r>
    <r>
      <rPr>
        <u/>
        <sz val="12"/>
        <color rgb="FF00B0F0"/>
        <rFont val="Arial"/>
        <family val="2"/>
      </rPr>
      <t>gobiernodigital@licoreracundinamarca.com.co</t>
    </r>
    <r>
      <rPr>
        <sz val="12"/>
        <color rgb="FF000000"/>
        <rFont val="Arial"/>
        <family val="2"/>
      </rPr>
      <t>, con el objetivo de que los usuarios que actuan en el proyecto de implementación de la estratégia digital de la entidad acudan a dichos reportes de revisión y se generen los ajustes requeridos y por ende generar los entregables esperados por el proyecto en mención.</t>
    </r>
  </si>
  <si>
    <t>Efectuar control del reporte en oportunidad, de las acciones realizadas por parte de los Macroprocesos y que están identificados en la matriz de riesgos, para facilitar el seguimiento y evaluación que realiza la oficina de control interno.</t>
  </si>
  <si>
    <t>(Número total de informes reportados en el periodo / Número total de reportes solicitados)*100</t>
  </si>
  <si>
    <t xml:space="preserve">Asesoría profesional,  capacitación,  inducción y reinducción a servidores públicos de acuerdo con solicitudes.
Rendición de cuenta de Deuda Pública a la Contraloría de Cundinamarca, mes de octubre 2018.
Solicitud y consolidación Informe de Junta Directiva con corte a 30 de septiembre de 2018.
Recepción y revisión de  informes de gestión a 30 de septiembre de 2018 remitidos por algunas dependencias
</t>
  </si>
  <si>
    <t>Asesoría profesional,  capacitación,  inducción y reinducción a servidores públicos de acuerdo con solicitudes.
Rendición de cuenta de Deuda Pública a la Contraloría de Cundinamarca, mes de noviembre 2018.
Consolidación y presentación de Informes de Junta Directiva con corte a 30 de septiembre  y 31 de octubre de 2018.
Elaboración informe para Junta Directiva y Comunidad con logros 2016-2018 para presentación del Gerente General en inauguración de la Empresa el 29 de noviembre de 2018
Consolidación y seguimiento al avance del Plan Estratégico y planes de acción con tableros de control. Pendiente informe de Subgerencia Financiera</t>
  </si>
  <si>
    <t xml:space="preserve">Asesoría profesional,  capacitación,  inducción y reinducción a servidores públicos de acuerdo con solicitudes.
Rendición de cuenta de Deuda Pública a la Contraloría de Cundinamarca, mes de diciembre y solicitud de información para rendición de cuenta anual 2018.
Consolidación y presentación de Informes de Junta Directiva con corte a 30 de noviembre de 2018.
Diligenciamiento y presentación de informe preliminar de gestión 2018 en formato establecido por la Secretaría de Planeación de Cundinamarca en oportunidad y calidad
Consolidación y seguimiento al avance del Plan Estratégico y planes de acción con tableros de control a 30 de septiembre . Remisión de informe a Control Interno </t>
  </si>
  <si>
    <t xml:space="preserve">El avance de los programas y proyectos del Plan Estratégico a 30 de septiembre de 2018, no se reportan en el mes de octubre porque no fueron ecibidos los informes de gestión e algunas dependencias. </t>
  </si>
  <si>
    <t xml:space="preserve">El avance de los programas y proyectos del Plan Estratégico a 30 de septiembre de 2018, no se reportan en su totalidad en el mes de noviembre porque no fue recibido  el informe de gestión de una dependencia. </t>
  </si>
  <si>
    <t xml:space="preserve">Mediante la implementación de los tableros de control, el plan estratégico registra un avance 2016- septiembre de 2018 de 65.69%.  Un resultado aceptable si se tiene en cuenta que se registraron decrementos en las metas de impacto y resultado en lo relacionado con  las transferencias  al departamento por el  Impuesto unificado causado directamente por el decremiento del 11% en las ventas de licores.  Sin embargo, en el periodo de análisis se obtuvo un incremento de 1670% en la Utilidad Neta con respecto al mismo periodo del año base (2015) como resultado de las acciones adelantadas por la administración con las políticas de reducción de costos y gastos que han permitido obtener niveles importantes de eficiencia en el manejo de los recursos.
Fue presentado el overview del módulo de Proyectos PS en el sistema SAP, donde se mostraron sus funcionalidades y junto con los usuarios se identificó el alcance de la implementación para la ELC  y la integración con los demás módulos desarrollados </t>
  </si>
  <si>
    <t>El proyecto de automatización denominado: "Diseñar, suministrar, instalar y poner en marcha el sistema de control e instrumentación para la optimización y actualización tecnológica de la planta de producción de la Empresa de Licores de Cundinamarca” registra un avance del 99%  a 30 de septiembre de 2018, solo están pendientes pequeños ajustes para su finalización.</t>
  </si>
  <si>
    <t xml:space="preserve">De acuerdo con las información para Junta Directiva y logros 2016-2018, el avance del proyecto de automatización a noviembre de 2018 es del 100%. </t>
  </si>
  <si>
    <t xml:space="preserve">De acuerdo con las información para Junta Directiva y logros 2016-2018, presentados por la Gerencia General en la inauguración de la Empresa el 28 de noviembre de 2018 el avance del proyecto de automatización es del 100%. </t>
  </si>
  <si>
    <t>En este mes se migraron estos documentos quedando pendiente su aprobación</t>
  </si>
  <si>
    <t xml:space="preserve">DOCUMENTACION:Se realizaron 11 Mesas de trabajo en diferentes temas del Sistema de Gestión de la Calidad:  Inducción, Modulo PM SAP mantenimientos Locativos- Vehículos-Sistemas con los respectivos lideres para su respectiva implementación.
Revisión de Procedimiento y politica de PQRS, derechos de petición y ventanilla unica.
Socialización de la Resolución 1407 Plan de gestión ambiental y responsabilidad social.
AUDITORIA EXTERNA  II FASE:  Tres días de acompañamiento y 2 Jornadas de socialización Comité Primario Planeación y Comité Directivo posteriormente.
Se consolidaron los hallazgos evidenciados por el Auditor los cuales se socializaron a través de:
Circular 20181040001626 del 25 de octubre, emitida por la Gerencia, en la cual se reitera el compromiso en documentar las acciones resultantes de la misma para dar el respectivo cierre.
</t>
  </si>
  <si>
    <t xml:space="preserve">DOCUMENTACION: Se realizaron 6 Mesas de Trabajo  en temas del Sistema de Gestión de la Calidad:  Inducción, Resolución 1407 Plan de gestión ambiental y responsabilidad social.
Revisión de procedimiento Investigación y desarrollo de nuevos productos, Plan Anticorrupción y de atenciónal ciudadano y Resolución por la cual se adopta el Sistema Integrado de Gestión, el Sistema de Gestión de Calidad y el Manual de Calidad en la ELC..
AUDITORIA EXTERNA
el 13 de noviembre un correo masivo dando alcance a la resolución, recordando la disposición de los profesionales de la Oficina de Planeación en el acompañamiento y asesoría.  </t>
  </si>
  <si>
    <t xml:space="preserve">El 10 de octubre se solicito a través de correo electrónico a todas los líderes de los Macroprocesos el informe de seguimiento de las acciones realizadas en el III Trimestre, con plazo de entrega:  18 de octubre.
</t>
  </si>
  <si>
    <t>se cumplio con el 50% en la entrega del reporte del III trimestre por parte de los lideres de los procesos</t>
  </si>
  <si>
    <t>Historio.</t>
  </si>
  <si>
    <t xml:space="preserve">De acuerdo con los resultados obtenidos se evidencia gestión adecuada, lo cual es acorde con la meta a alcanzar.
</t>
  </si>
  <si>
    <t>En el mes de Octubre aumenta proporcionalmente las horas hombre con referencia al mes anterior, ya que se conto con todo el personal en misión, y con esto se pudo cumplir con los turnos de producción programados según el programa de producción y las necesidades del mercado.</t>
  </si>
  <si>
    <t>El mes de Noviembre sigue con una tendencia creciente en las horas hombre con referencia al mes anterior, ya que se conto con todo el personal en misión, y con esto se pudo cumplir con los turnos de producción programados según el programa de producción priorizando referencias  en tetrapak y 375 ml néctar club según las necesidades del mercado.</t>
  </si>
  <si>
    <t xml:space="preserve">En el mes de Diciembre se aplica el cierre de producción a la fecha 21 de Diciembre de 2018 , obteniendo 14 días hábiles de producción, con esto cumplimento a un 98%, sobre la meta según el programa de producción para este año y observando un crecimiento en los últimos tres meses del año en el grado de eficiencia con que se emplean el recurso humano para la producción, es de aclarar que se calculo como media para todo el año un promedio de 33 personas en operación de planta, sin embargo para el mes de noviembre se genero reducción de personal temporal aproximadamente en un 30% y en diciembre creció a un 60%; de igual manera un gran porcentaje del personal de planta se encontró en vacaciones y otros eventos programados aumentando el indicador de ausentismo; de acuerdo a estas eventualidades para estos meses disminuye el promedio de personal en la fórmula del indicador. </t>
  </si>
  <si>
    <t>Durante este mes se obtiene un 27%  en líneas inactivas, generando una tendencia positiva en cuanto al mes anterior, esto debido a que se aplicaron acompañamientos en los paros no programados para cada linea.</t>
  </si>
  <si>
    <t>Durante este mes se obtiene un 20%  en líneas inactivas, generando una tendencia positiva en cuanto al mes anterior, esto debido a que se aplicaron mantenimiento preventivos según el plan de matenimiento industrial.</t>
  </si>
  <si>
    <t xml:space="preserve">Ya para el cierre del año 2018 y teniendo en cuenta 14 días hábiles en el mes de diciembre a comparación del mes anterior se mantienen los tiempos inactivos con tendencia positiva ya que se obtiene un 20%  en líneas inactivas, es decir tiempos no programados y ociosos contando solo con 2 líneas de producción; con esto se identifica que los mantenimientos preventivos fueron más consistentes; es de aclarar que para los últimos meses del año según el programa de producción y las necesidades del mercado (programa de ventas), los tiempos ociosos han aumentando proporcionalmente tratando de tener control sobre el mismo, ya que la producción en algunas referencias de néctar y ron no son constantes, es decir se presentan cambios de producto y se cumple con lo requerido por el programa de venta a corto plazo esto generando tiempos adicionales ociosos. </t>
  </si>
  <si>
    <t>En el mes de Octubre se identifica una tendencia creciente en comparación a los meses anteriores, esto debido problemas con la calidad de algunos insumos como se identifica en la etiqueta, así mismo se realizan los debidos ajustes en los puntos críticos de producción. Esto también se debe tener en cuenta por la programación de turnos largos para cumplir con metas del año 2018 en producción. 
    * ETIQUETA= 2%
VIDRIO= 0.08%
TETRABRIK= 1,76%
CAJAS= 0.07%
TAPAS= 0.19%
COPA= 0.42%
SUBTAPA=0,00%</t>
  </si>
  <si>
    <t>En el mes de Noviembre se identifican cambios positivos, esto debido al control y seguimiento a los insumos en el proceso de producción.    * ETIQUETA= 0.04%
VIDRIO= 0.07%
TETRABRIK= 1,42%
CAJAS= 0.04%
TAPAS= 0.14%
COPA= 0.01%
SUBTAPA=0,00%</t>
  </si>
  <si>
    <t>En el mes de diciembre  se identifican cambios positivos, esto debido al control y seguimiento a los insumos en el proceso de producción.    * ETIQUETA= 0.04%
VIDRIO= 0.07%
TETRABRIK= 1,42%
CAJAS= 0.04%
TAPAS= 0.14%
COPA= 0.01%
SUBTAPA=0,00%</t>
  </si>
  <si>
    <t xml:space="preserve">En el mes de Octubre tenemos un cumplimiento del 74% sobre la producción real y lo proyectado para este periodo, esto debido a ajustes según el plan de ventas y necesidades del mercado se genero complimiento de referencias de menores cantidades, adicional se realiza la producción de la nueva presentación 500ml.  </t>
  </si>
  <si>
    <t>En el mes de Noviembre tenemos un cumplimiento del 105% sobre la producción real y lo proyectado para este periodo, esto debido a la programación de turnos largos para mejorar capacidad de producción en las líneas, así cumplir con necesidades del mercado.</t>
  </si>
  <si>
    <t>En el mes de Diciembre tenemos un cumplimiento del 157% sobre la producción real y lo proyectado para este periodo, esto debido a la programación de dobles turnos en la línea 1 375ml generando una sobre ejecución en la producción de esta presentación, así cumplir con necesidades del mercado.</t>
  </si>
  <si>
    <t>En el mes de Octubre no se ejecuta producción para otros departamentos por el cual genera un cumplimiento del 0% sobre lo proyectado para este periodo, esto debido a ajustes según el plan de ventas generando prioridad a las referencias con destino a Cundinamarca ya que en gran parte de referencias a oros departamentos se había cumplido con lo solicitado.</t>
  </si>
  <si>
    <t>En el mes de Noviembre se obtiene un cumplimiento del 64% sobre lo proyectado para este periodo, esto debido a las necesidades del mercado para generar cobertura según el plan de ventas.</t>
  </si>
  <si>
    <t>En el mes de Noviembre se obtiene un cumplimiento del 100% sobre lo proyectado para este periodo, esto debido a las necesidades del mercado para generar cobertura según el plan de ventas. Es de aclarar que la producción para otros departamentos depende de la programación según necesidades del programa de ventas por eso se identifican picos y cumplimiento de metas.</t>
  </si>
  <si>
    <t>En el mes de Noviembre se obtiene un cumplimiento del 98% sobre lo proyectado para este periodo en producción para el exterior, esto debido a las necesidades del mercado, también teniendo en cuenta la disponibilidad de insumos avalados por calidad y la normalidad legal para su debida producción e importación del producto.  Se aclara que las unidades solicitadas se programaron para el mes de noviembre el resto del año no hubo necesidad según lo requerido por comercial y ventas.</t>
  </si>
  <si>
    <t>De acuerdo con los resultados obtenidos se evidencia que el indicador arroja gestión favorable frente a la meta establecida y los objetivos propuestos.</t>
  </si>
  <si>
    <t xml:space="preserve">Para el mes de septiembre se reportaron en la Mesa de Ayuda (12) solicitudes de las cuales se atendieron dejando los casos cerrados. Se consolida el listado de suministros y respuestos. Se realizo un seguimiento para dar cumplimiento total a las solicitudes. </t>
  </si>
  <si>
    <t xml:space="preserve">Para el mes de septiembre se reportaron en la Mesa de Ayuda (17) solicitudes de las cuales se atendieron en oportunidad (17). Se realiza el proceso contractual parala compra de suministros y respuestos. Se realizo un seguimiento para dar cumplimiento total a las solicitudes. </t>
  </si>
  <si>
    <t xml:space="preserve">Para el mes de septiembre se reportaron en la Mesa de Ayuda (8) solicitudes de las cuales se atendieron en oportunidad (8).  Se recepciona lo adquirido en la compra de suministros y respuestos. Se realizo un seguimiento para dar cumplimiento total a las solicitudes. </t>
  </si>
  <si>
    <t xml:space="preserve">se consolida la informacion y se vincula a la plantilla para el cargue masivo de datos, se programa el consultor con el fin de en el sigueinte mescargr la informacion y recibir al capacitacion. </t>
  </si>
  <si>
    <t>Se carga la plantilla en el modulo PM, se recibe la capacitacion para realizar las activdades en el sistema SAP, esta pendiente lo relacionado con el area de costos para infresar losvalores de mano de obra.</t>
  </si>
  <si>
    <t xml:space="preserve">Se realizaron trabajos de cargue masivo de datos al sistema ERP SAP se realiza el programa de mantenirmientos para el 2019, se crean los equipo en el sistema, y los planes de mantenimientos.     </t>
  </si>
  <si>
    <r>
      <t xml:space="preserve">De acuerdo a los resultados obtenidos se evidencia desviación del indicador en 72 puntos porcentual, por tanto se requiere plantear </t>
    </r>
    <r>
      <rPr>
        <sz val="12"/>
        <color rgb="FFFF0000"/>
        <rFont val="Arial"/>
        <family val="2"/>
      </rPr>
      <t>acción correctiva</t>
    </r>
    <r>
      <rPr>
        <sz val="12"/>
        <color theme="1"/>
        <rFont val="Arial"/>
        <family val="2"/>
      </rPr>
      <t>, se sugiere tener en cuenta principio de oportunidad de la información.</t>
    </r>
  </si>
  <si>
    <r>
      <t xml:space="preserve">De acuerdo con los resultados obtenidos se requiere establecer </t>
    </r>
    <r>
      <rPr>
        <sz val="12"/>
        <color rgb="FFFF0000"/>
        <rFont val="Arial"/>
        <family val="2"/>
      </rPr>
      <t>acción correctiva</t>
    </r>
    <r>
      <rPr>
        <sz val="12"/>
        <color rgb="FF000000"/>
        <rFont val="Arial"/>
        <family val="2"/>
      </rPr>
      <t>, esto teniendo en cuenta que los datos reportados se desvían conforme a la meta establecida para el indicador Paros Programados y No Programados en líneas de producción.</t>
    </r>
  </si>
  <si>
    <t>En el mes de Septiembre segun su indicador (MTBF) el tiempo promedio entre paros no programados de cada linea de producciòn es de 671,86 minutos, obteniendo una disponibilidad del 90,62%. segun este indicador (DISPONIBILIDAD) corresponde al tiempo que una maquina esta disponible durante un tiempo definido de trabajo. MTBF/(MTBF+MTTR)= Tiempo de operación/(tiempo de operación + tiempo de reparación) =Disponibilidad.</t>
  </si>
  <si>
    <t>En el mes de Septiembre segun su indicador (MTBF) el tiempo promedio entre paros no programados de cada linea de producciòn es de 925,21 minutos, obteniendo una disponibilidad del 94,96%. segun este indicador (DISPONIBILIDAD) corresponde al tiempo que una maquina esta disponible durante un tiempo definido de trabajo. MTBF/(MTBF+MTTR)= Tiempo de operación/(tiempo de operación + tiempo de reparación) =Disponibilidad.</t>
  </si>
  <si>
    <t>En el mes de Septiembre segun su indicador (MTBF) el tiempo promedio entre paros no programados de cada linea de producciòn es de 1108,82 minutos, obteniendo una disponibilidad del 96,67%. segun este indicador (DISPONIBILIDAD) corresponde al tiempo que una maquina esta disponible durante un tiempo definido de trabajo. MTBF/(MTBF+MTTR)= Tiempo de operación/(tiempo de operación + tiempo de reparación) =Disponibilidad.</t>
  </si>
  <si>
    <t>En el mes de Septiembre segun su indicador (MTTR) el tiempo promedio de reparacion es de 69,52 minutos, obteniendo una disponibilidad del 90,62%. segun este indicador (DISPONIBILIDAD) corresponde al tiempo que una maquina esta disponible durante un tiempo definido de trabajo. MTBF/(MTBF+MTTR)= Tiempo de operación/(tiempo de operación + tiempo de reparación) =Disponibilidad.</t>
  </si>
  <si>
    <t>En el mes de Septiembre segun su indicador (MTTR) el tiempo promedio de reparacion es de 49,15 minutos, obteniendo una disponibilidad del 94,96%. segun este indicador (DISPONIBILIDAD) corresponde al tiempo que una maquina esta disponible durante un tiempo definido de trabajo. MTBF/(MTBF+MTTR)= Tiempo de operación/(tiempo de operación + tiempo de reparación) =Disponibilidad.</t>
  </si>
  <si>
    <t>En el mes de Septiembre segun su indicador (MTTR) el tiempo promedio de reparacion es de 38,24 minutos, obteniendo una disponibilidad del 96,67%. segun este indicador (DISPONIBILIDAD) corresponde al tiempo que una maquina esta disponible durante un tiempo definido de trabajo. MTBF/(MTBF+MTTR)= Tiempo de operación/(tiempo de operación + tiempo de reparación) =Disponibilidad.</t>
  </si>
  <si>
    <t>La Oficina Asesora de Jurídica realiza seguimiento a las solicitudes de asesoría y a la oportunidad en su respuesta a través de una base de datos donde se registra la fecha de ingreso de la solicitud de asesoría o control de legalidad. De igual manera para brindar respuestas oportunas y con calidad realizamos una revisión periódica de la normatividad expedida a nivel nacional y departamental. Durante el mes de octubre de 2018, se dio trámite a 35 solicitudes de control de legalidad.</t>
  </si>
  <si>
    <t xml:space="preserve">La Oficina Asesora de Jurídica realiza seguimiento a a las solicitudes de asesoría y a la oportunidad en su respuesta a través de una base de datos en donde se registra la fecha de ingreso de la solicitud de asesoría o control de legalidad. De igual manera para brindar respuestas oportunas y con calidad realizamos una revisión periódica de la normtividad expedida a nivel nacional y departamental. Durante el mes de noviembre de 2018, se dio trámite a 42 solicitudes de control de legalidad. </t>
  </si>
  <si>
    <t>La Oficina Asesora de Jurídica realiza seguimiento a las solicitudes de asesoría y a la oportunidad de su respuesta a través de una base de datos en sonde se registra la fecha de ingreso de la solicitud de asesoría o control de legalidad. De igual manera para brindar respuestas oportunas y con calidad realizamos una revisión periódica de la normatividad expedida a nivel nacional y departamental. Durante el mes de diciembre de 2018, se dio trámite a 28 solicitudes de control de legalidad.</t>
  </si>
  <si>
    <t>La Oficina Asesora de Jurídica realiza un control mensual de procesos a través de la pagina de la Rama Judicial, contrastado con la información suministrada por los asesores externos y la empresa de Vigilancia Judicial; todo lo anterior, con el fin de hacer seguimientos a las actuaciones que se realizan en los procesos judiciales. Para octubre de 2018, contamos con 37 procesos terminados de los cuales 33 estan a favor de la ELC y 4 en contra y 111 procesos en curso de los cuales 89 somos demandantes y 22 actuamos como demandados.</t>
  </si>
  <si>
    <t>La Oficina Asesora de Jurídica realiza un control mensual de procesos a través de la pagina de la Rama Judicial, contrastado con la información suministrada por los asesores externos y la empresa de Vigilancia Judicial; todo lo anterior, con el fin de hacer seguimientos a las actuaciones que se realizan en los procesos judiciales. Para noviembre de 2018, contamos con 37 procesos terminados de los cuales 33 estan a favor de la ELC y 4 en contra y 111 procesos en curso de los cuales 89 somos demandantes y 22 actuamos como demandados.</t>
  </si>
  <si>
    <t>La Oficina Asesora de Jurídica realiza un control mensual de procesos a través de la pagina de la Rama Judicial, contrastado con la información suministrada por los asesores externos y la empresa de Vigilancia Judicial; todo lo anterior, con el fin de hacer seguimientos a las actuaciones que se realizan en los procesos judiciales. Para diciembre de 2018, contamos con 37 procesos terminados de los cuales 33 estan a favor de la ELC y 4 en contra y 111 procesos en curso de los cuales 89 somos demandantes y 22 actuamos como demandados.</t>
  </si>
  <si>
    <t>La Oficina Asesora Juridica, en aras de atender con calidad y oportunidad las solicitudes elevadas ante la Empresa, realiza el seguimiento y control de los derechos de petición radicados en la secretaría de la Oficina, estableciendo su fecha vencimiento para contestar en oportunidad. De igual manera es impotante señalar que para dar respuesta de fondo, completa y con calidad a todas las solciitudes que se reciben en la Oficina, se realiza una revisión periodica de la normatividad expedida a nivel nacional y departamental. Durante el mes de octubre de 2018, la Oficina Asesora Juridica no contestó derechos de petición.</t>
  </si>
  <si>
    <t>La Oficina Asesora Juridica, en aras de atender con calidad y oportunidad las solicitudes elevadas ante la Empresa, realiza el seguimiento y control de los derechos de petición radicados en la secretaría de la Oficina, estableciendo su fecha vencimiento para contestar en oportunidad. De igual manera es impotante señalar que para dar respuesta de fondo, completa y con calidad a todas las solciitudes que se reciben en la Oficina, se realiza una revisión periodica de la normatividad expedida a nivel nacional y departamental. Durante el mes de noviembre de 2018, la Oficina Asesora Juridica contestó 9 derechos de petición dentro del termino legal señalado para tal fin. (15 dias, Art 14, Ley 1755 de 2012)</t>
  </si>
  <si>
    <t>La Oficina Asesora Juridica, en aras de atender con calidad y oportunidad las solicitudes elevadas ante la Empresa, realiza el seguimiento y control de los derechos de petición radicados en la secretaría de la Oficina, estableciendo su fecha vencimiento para contestar en oportunidad. De igual manera es impotante señalar que para dar respuesta de fondo, completa y con calidad a todas las solciitudes que se reciben en la Oficina, se realiza una revisión periodica de la normatividad expedida a nivel nacional y departamental. Durante el mes de diciembre de 2018, la Oficina Asesora Juridica contesto 4 derechos de petición dentro del termino legal señalado para tal fin. (15 dias, Art 14,  Ley 1755 de 2012)</t>
  </si>
  <si>
    <t>Con el fin de ejercer la defensa contra la competencia desleal, prácticas restrictivas de la competencia y cualquier otra forma de vulneración comercial de las marcas de la Empresa de Licores de Cundinamarca, la Oficina Asesora  de Jurídica realizaóuna revisión mensual a la Gaceta de Propiedad Industrial expedidaspor la Superintendencia de Industria y Comercio, con el fin de verificar que no se hayan registrado marcas que afecten contra los intereses de la Empresa; de igual manera se realizó actividades de vigilancia al entorno digital, que comprende medios de comunicación como televisión, radio y redes sociales, para prevenir el uso de marcas registradas por la Empresa. Durante el mes de octubre de 2018,  se remitió oficio a la Fábrica de Licores de Antioquia a efecto que cesara los actos violatorios de los derechos marcarios de la Empresa.</t>
  </si>
  <si>
    <t xml:space="preserve">Con el fin de ejercer la defensa contra la competencia desleal, practicas restrictivas de la competencia y cualquier otra forma de vulneración comercial de las marcas de la Empresa de Licores de Cundinamarca, la Oficina Asesora de Jurídica en el mes de noviembre de 2018 realizó la revisión mensual a la Gaceta de Propiedad Industrial expedida por la Superintendencia de Industria y Comercio, con el fin de verificar que no se hayan registrado marcas que afecten contra los intereses de la Empresa; de igual manera se realizó actividades de vigilancia al entorno digital, que comprende medios de comunicación como televisión, radio y redes sociales, para prevenir el uso de marcas registradas por la Empresa. </t>
  </si>
  <si>
    <t xml:space="preserve">Con el fin de ejercer la defensa contra la competencia desleal, practicas restrictivas de la competencia y cualquier otra forma de vulneración comercial de las marcas de la Empresa de Licores de Cundinamarca, la Oficina Asesora de Jurídica en el mes de diciembre de 2018 realizó la revisión mensual a la Gaceta de Propiedad Industrial expedida por la Superintendencia de Industria y Comercio, con el fin de verificar que no se hayan registrado marcas que afecten contra los intereses de la Empresa; de igual manera se realizó actividades de vigilancia al entorno digital, que comprende medios de comunicación como televisión, radio y redes sociales, para prevenir el uso de marcas registradas por la Empresa. </t>
  </si>
  <si>
    <t>La Oficina Asesora de Juridica cuenta con una base de datos a través de la cual es posible determinar que registros sanitarios, marcas, nombres o lemas comerciales, se encuentran próximos a vencerse; Ejecutado el seguimiento antes mencionado, durante el mes de octubre se solicitó la renovación de dos (2) marcas y el registro de una (1) nueva..</t>
  </si>
  <si>
    <t>La Oficina Asesora de Juridica cuenta con una base de datos a través de la cual es posible determinar que registros sanitarios, marcas, nombres o lemas comerciales, se encuentran próximos a vencerse; Ejecutado el seguimiento antes mencionado, durante el mes de noviembre se solicitó la renovación de 6 dominios.</t>
  </si>
  <si>
    <t>Durante el mes de diciembre de 2018, no se hizo necesaria la solicitud o renovación de marcas o registros sanitarios.</t>
  </si>
  <si>
    <t xml:space="preserve">(# Total de procesos / # de procesos a favor )
(# Total de procesos / # de procesos en contra )
</t>
  </si>
  <si>
    <t>La Empresa de Licores de Cundinamarca en el mes de julio asigno recursos tan solo por una cifra cercana al 7% de los ingresos generados por ventas en el mismo periodo, para el desarrollo de las estrategias de mercadeo y publicidad.</t>
  </si>
  <si>
    <t>La Empresa de Licores de Cundinamarca en el mes de agosto asigno recursos tan solo por una cifra cercana al 11% de los ingresos generados por ventas en el mismo periodo, para el desarrollo de las estrategias de mercadeo y publicidad.</t>
  </si>
  <si>
    <t>La Empresa de Licores de Cundinamarca en el mes de septiembre asigno recursos tan solo por una cifra cercana al 10% de los ingresos generados por ventas en el mismo periodo, para el desarrollo de las estrategias de mercadeo y publicidad, con una estrategia especifica por el lanzamiento de la referencia de 500ml.</t>
  </si>
  <si>
    <t>La Empresa de Licores de Cundinamarca en el mes de octubre asigno recursos tan solo por una cifra cercana al 13% de los ingresos generados por ventas en el mismo periodo, para el desarrollo de las estrategias de mercadeo y publicidad, con una estrategia especifica por el lanzamiento de la referencia de 500ml.</t>
  </si>
  <si>
    <t>La Empresa de Licores de Cundinamarca en el mes de noviembre asigno recursos tan solo por una cifra cercana al 3% de los ingresos generados por ventas en el mismo periodo, para el desarrollo de las estrategias de mercadeo y publicidad.</t>
  </si>
  <si>
    <t>La Empresa de Licores de Cundinamarca en el mes de diciembre asigno recursos tan solo por una cifra cercana al 6% de los ingresos generados por ventas en el mismo periodo, para el desarrollo de las estrategias de mercadeo y publicidad de cierre de año.</t>
  </si>
  <si>
    <t>Para el mes de julio los distribuidores de atlantico, meta, cundinamarca y tolima realizaron la compra del mes de manera limitada de acuerdo con su nivel de inventarios y variacion en la demanda por condiciones de estacionalidad en el mercado, esto represento solo el 88% de lo programado para el mes.</t>
  </si>
  <si>
    <t>Para el mes de agosto los distribuidores de arauca, atlantico, cundinamarca y tolima realizaron la compra del mes de manera limitada de acuerdo con su nivel de inventarios y variacion en la demanda por condiciones de estacionalidad en el mercado, esto represento solo el 85% de lo programado para el mes.</t>
  </si>
  <si>
    <t>Para el mes de septiembre los distribuidores de casanare, meta, nariño, cundinamarca y tolima realizaron la compra del mes de manera limitada de acuerdo con su nivel de inventarios y variacion en la demanda por condiciones de estacionalidad en el mercado, esto represento solo el 95% de lo programado para el mes.</t>
  </si>
  <si>
    <t>Para el mes de octubre solo los distribuidores para los departamento de cundinamarca y meta realizaron la compra del mes de manera limitada de acuerdo con su nivel de inventarios y variacion en la demanda por condiciones de estacionalidad en el mercado, esto represento solo el 79% de lo programado para el mes.</t>
  </si>
  <si>
    <t>Para el mes de noviembre los distribuidores para los departamentos de casanare,meta, nariño, cundinamarca y tolima realizaron la compra del mes de manera limitada de acuerdo con su nivel de inventarios y variacion en la demanda por condiciones de estacionalidad en el mercado, esto represento solo el 185% de lo programado para el mes, como estrategia de abastecimiento frente a la epoca de diciembre.</t>
  </si>
  <si>
    <t>Para el mes de diciembre los distribuidores para los departamentos de arauca, atlantico, casanare,meta, cundinamarca y tolima realizaron la compra del mes de manera  de acuerdo con su nivel de inventarios y variacion en la demanda por condiciones de estacionalidad en el mercado, esto represento solo el 59% de lo programado para el mes.</t>
  </si>
  <si>
    <t>Para el mes de julio el distribuidor realizó la compra del mes establecida en las condiciones del contrato, esto represento el 100% de lo programado. Se realiza un ajuste en el plan de ventas acumulado a diciembre para 2018</t>
  </si>
  <si>
    <t>Para el mes de agosto el distribuidor realizó la compra del mes establecida en las condiciones del contrato, esto represento el 96% de lo programado.</t>
  </si>
  <si>
    <t>Para el mes de septiembre el distribuidor realizó la compra del mes establecida en las condiciones del contrato, esto represento el 99% de lo programado.</t>
  </si>
  <si>
    <t>Para el mes de octubre el distribuidor realizó la compra del mes establecida en las condiciones del contrato, esto represento el 99% de lo programado.</t>
  </si>
  <si>
    <t>Para el mes de noviembre el distribuidor realizó la compra incrementada del mes establecida en las condiciones del contrato debido a condiciones del mercado, esto represento el 241% de lo programado.</t>
  </si>
  <si>
    <t>Para el mes de diciembre el distribuidor realizó la compra incrementada del mes establecida en las condiciones del contrato debido a condiciones del mercado, esto represento el 241% de lo programado.</t>
  </si>
  <si>
    <t>Para el mes de julio los distribuidores de atlantico, meta y tolima realizaron la compra del mes de manera limitada de acuerdo con su nivel de inventarios y variacion en la demanda por condiciones de estacionalidad en el mercado, esto represento solo el 24% de lo programado para el mes.</t>
  </si>
  <si>
    <t>Para el mes de agosto los distribuidores de arauca, atlantico y tolima realizaron la compra del mes de manera limitada de acuerdo con su nivel de inventarios y variacion en la demanda por condiciones de estacionalidad en el mercado, esto represento solo el 37% de lo programado para el mes.</t>
  </si>
  <si>
    <t>Para el mes de septiembre los distribuidores de casanare, meta, nariño y tolima realizaron la compra del mes de manera limitada de acuerdo con su nivel de inventarios y variacion en la demanda por condiciones de estacionalidad en el mercado, esto represento solo el 93% de lo programado para el mes.</t>
  </si>
  <si>
    <t>Para el mes de octubre solo el distribuidor para el departamento de meta realizo la compra del mes de manera limitada de acuerdo con su nivel de inventarios y variacion en la demanda por condiciones de estacionalidad en el mercado, esto represento solo el 4% de lo programado para el mes.</t>
  </si>
  <si>
    <t>Para el mes de noviembre los distribuidores para los departamentos de casanare,meta, nariño y tolima realizaron la compra del mes de manera limitada de acuerdo con su nivel de inventarios y variacion en la demanda por condiciones de estacionalidad en el mercado, esto represento solo el 41% de lo programado para el mes.</t>
  </si>
  <si>
    <t>Para el mes de diciembre los distribuidores para los departamentos de arauca, atlantico, casanare,meta y tolima realizaron la compra del mes de manera  de acuerdo con su nivel de inventarios y variacion en la demanda por condiciones de estacionalidad en el mercado, esto represento el 166% de lo programado para el mes.</t>
  </si>
  <si>
    <t>En cumplimiento de la operación comercial con clientes en exterior en este caso para ocupar canales de duty free en terminales aereos internacionales se cumplio solo con el 190% de lo programado para el mes.</t>
  </si>
  <si>
    <t>En ejecucion del plan comercial se logro la venta de solo 83% de la unidades programadas, esto debido a fluctuaciones en el mercado por disminucion en la demanda relacionada con la estacionalidaden los volumenes de produccion de nuestros clientes.</t>
  </si>
  <si>
    <t>En ejecucion del plan comercial se logro la venta de solo 75% de la unidades programadas, esto debido a fluctuaciones en el mercado por disminucion en la demanda relacionada con la estacionalidaden los volumenes de produccion de nuestros clientes.</t>
  </si>
  <si>
    <t>En ejecucion del plan comercial se logro la venta de solo 20% de la unidades programadas, esto debido a inconvenientes en el suministro de la materia prima, lo que determino menores cantidades de inventario y la priorizacion para su uso en produccion.</t>
  </si>
  <si>
    <t>En ejecucion del plan comercial se logro la venta del 199% de la unidades programadas, como efecto de abastecimiento retrasado de las cantidades no despachadas en el mes de septiembre</t>
  </si>
  <si>
    <t>En ejecucion del plan comercial se logro la venta del 199% de la unidades programadas, como efecto de abastecimiento adicional por epoca de aumento en la demanda para su uso en produccion de nuestros clientes.</t>
  </si>
  <si>
    <t>Se requiere allegar registro donde se toma la decisión de reporte por parte de la gestión financiera de la entidad.</t>
  </si>
  <si>
    <t># de Unid vendidas en el periodo / # de Unid programadas a vender en el periodo.</t>
  </si>
  <si>
    <t># de litros vendidos en el periodo / # de litros programados a vender en el periodo.</t>
  </si>
  <si>
    <t>MATRIZ DE INDICADORES DE GESTIÓN POR PROCESOS - VIGENCIA 2018</t>
  </si>
  <si>
    <r>
      <t>nO</t>
    </r>
    <r>
      <rPr>
        <sz val="12"/>
        <color theme="1"/>
        <rFont val="Arial"/>
        <family val="2"/>
      </rPr>
      <t xml:space="preserve">No se efectua análisis de resultados obtenidos, así mismo no realiza medición frente a la meta planteada, lo anterior teniendo en cuenta que no se allega el pertinente reporte a la gestión de planeación. </t>
    </r>
  </si>
  <si>
    <t>11 brigadistas capacitados en rescate en espacios confinados.
11 Brigadistas capacitados en comandos de incidentes.</t>
  </si>
  <si>
    <t>Durante este mes se adelantaron las siguientes capacitaciones:
*Gestion documental.
*Estrategias de Marketing.
*Gestion de proyectos.</t>
  </si>
  <si>
    <t>Por diferentes factores y sucesos durante la vigencia, no se logro cumplir con el 100% de las capacitacions relacionadas en el cronograma para el 2018</t>
  </si>
  <si>
    <t>Dentro del programa de bienestar se han realizado los encuentros deportivos correspondientes a las olimpiadas internas, este evento se viene adelantando desde el mes de julio y se finalizara en diciembre.
Se vine entregando de manera mensual un detalle (torta) por celebracion de los cumpleaños de cada uno de los funcionarios.</t>
  </si>
  <si>
    <t xml:space="preserve">
Se realizo jornada de integración con motivo de Halloween en la cual los trabajadores compartieron almuerzo y  tarde de fiesta en el restaurante el tambor.
Por medio de esta jornada se fortaleció el trabajo en equipo en cada una de las dependencias al realizar esta actividad conjunta.</t>
  </si>
  <si>
    <t>Jornada de premiación Olimpiadas Deportivas (05 de diciembre)
Gran encuentro de los servidores públicos y sus familias, en un encuentro espiritual, almuerzo especial y actividades deportivo-recreativas.(07 de diciembre)
Se organizan las novenas de aguinaldos, con el fin de fortalecer la parte espiritual, la fraternidad y celebrar esta epoca como familia.</t>
  </si>
  <si>
    <t>se recibieron 2043 novedades de nomina de las cuales se reliquido 0 por errores.</t>
  </si>
  <si>
    <t>se recibieron 2143 novedades de nomina de las cuales se reliquido 0 por errores.</t>
  </si>
  <si>
    <t>se recibieron 1253 novedades de nomina de las cuales se reliquido 0 por errores.</t>
  </si>
  <si>
    <t>Se han venido presentando errores con el sistema de control biometrico, los cuales generan tiempos de ausencia injusytificados, por lo cual se ha incrementado el procentaje.</t>
  </si>
  <si>
    <t>Durante este mes se presento 1 accidente, el cual genero 3 dias de incapacidad.</t>
  </si>
  <si>
    <t xml:space="preserve">
* Entrega EPP se realiza  por medio de una màquina dispensadora  instalada al ingreso de las àreas operativas.
* Inspecciones:
• Extintores: Se realizan las inspecciones cada 15 dias.
• Botiquines: Se realizan las inspecciones cada 15 dias.
• Camillas: Se realizan las inspecciones cada 15 dias. 
• Locativas: Se realizan las inspecciones diarias de 3 a 5 veces al dia. Queda evidencia en informe mensual de este periodo.
11 brigadistas capacitados en rescate en espacios confinados.
11 Brigadistas capacitados en comandos de incidentes.
Se capacitoaron 8 funcionarios en fudamento normativo de comite de convivencia.
Se participa en simulacro nacional de evacuacion.</t>
  </si>
  <si>
    <t xml:space="preserve">
* Entrega EPP se realiza  por medio de una màquina dispensadora  instalada al ingreso de las àreas operativas.
* Inspecciones:
• Extintores: Se realizan las inspecciones cada 15 dias.
• Botiquines: Se realizan las inspecciones cada 15 dias.
• Camillas: Se realizan las inspecciones cada 15 dias. 
• Locativas: Se realizan las inspecciones diarias de 3 a 5 veces al dia. Queda evidencia en informe mensual de este periodo.
</t>
  </si>
  <si>
    <t>15.3.1.</t>
  </si>
  <si>
    <t>15.3.2.</t>
  </si>
  <si>
    <t>15.4.1.</t>
  </si>
  <si>
    <t>15.5.2.</t>
  </si>
  <si>
    <t>15.3.</t>
  </si>
  <si>
    <t>15.4.</t>
  </si>
  <si>
    <t>Avisos acciones</t>
  </si>
  <si>
    <t>Conocer el número de avisos preventivos, correctivos y de mejora en el periodo reportado para garantizar la mejora continua.</t>
  </si>
  <si>
    <t>Número total de avisos del periodo</t>
  </si>
  <si>
    <t>No se reporta</t>
  </si>
  <si>
    <t xml:space="preserve">No se han generado avisos </t>
  </si>
  <si>
    <t>Avisos material no conforme</t>
  </si>
  <si>
    <t>Conocer el número eventos que ocasionan producto no conforme para minimizarlos.</t>
  </si>
  <si>
    <t>Número de avisos de material no conforme</t>
  </si>
  <si>
    <t>Los materiales recibidos en el período han cumplido, dentro de sus tolerancias, con las especificaciones técnicas establecidas.</t>
  </si>
  <si>
    <t xml:space="preserve">Se realizó una mesa de trabajo por solicitud de la Oficina, para el manejo del logo de la certificación.
</t>
  </si>
  <si>
    <r>
      <t xml:space="preserve">De acuerdo a los resultados obtenidos se evidencia desviación del indicador en 50 puntos porcentual, por tanto se requiere plantear </t>
    </r>
    <r>
      <rPr>
        <sz val="12"/>
        <color rgb="FFFF0000"/>
        <rFont val="Arial"/>
        <family val="2"/>
      </rPr>
      <t xml:space="preserve">acción correctiva </t>
    </r>
    <r>
      <rPr>
        <sz val="12"/>
        <color theme="1"/>
        <rFont val="Arial"/>
        <family val="2"/>
      </rPr>
      <t>, se sugiere tener en cuenta principio de oportunidad de la información.</t>
    </r>
  </si>
  <si>
    <t>MINIMO DE PARADAS MENOR AL 15%</t>
  </si>
  <si>
    <t>MENOR AL 3%</t>
  </si>
  <si>
    <r>
      <t xml:space="preserve">No se logra efectuar análisis de resultados obtenidos, esto teniendo en cuenta que a la fecha no se remite reporte de mediciones para la Gestión de Direccionamiento Estratégico con corte a 31 de diciembre de 2018, por tanto se requiere plantear </t>
    </r>
    <r>
      <rPr>
        <sz val="12"/>
        <color rgb="FFFF0000"/>
        <rFont val="Arial"/>
        <family val="2"/>
      </rPr>
      <t>acción correctiva</t>
    </r>
    <r>
      <rPr>
        <sz val="12"/>
        <color rgb="FF000000"/>
        <rFont val="Arial"/>
        <family val="2"/>
      </rPr>
      <t>, se sugiere tener en cuenta principio de oportunidad de la información.</t>
    </r>
  </si>
  <si>
    <t>Mantenimiento plataforma tecnológica.</t>
  </si>
  <si>
    <r>
      <t xml:space="preserve">De acuerdo con los resultados obtenidos se requiere establecer </t>
    </r>
    <r>
      <rPr>
        <sz val="12"/>
        <color rgb="FFFF0000"/>
        <rFont val="Arial"/>
        <family val="2"/>
      </rPr>
      <t>acción correctiva</t>
    </r>
    <r>
      <rPr>
        <sz val="12"/>
        <color rgb="FF000000"/>
        <rFont val="Arial"/>
        <family val="2"/>
      </rPr>
      <t>, esto teniendo en cuenta que los datos reportados se desvían conforme a la meta establecida para el indicador Producción de aguardientes y rones por presentaciòn para el exterior.</t>
    </r>
  </si>
  <si>
    <r>
      <t xml:space="preserve">No se logra efectuar análisis de resultados, lo anterior teniendo en cuenta que no se visualiza resultados obtenidos, , por tanto se requiere plantear </t>
    </r>
    <r>
      <rPr>
        <sz val="12"/>
        <color rgb="FFFF0000"/>
        <rFont val="Arial"/>
        <family val="2"/>
      </rPr>
      <t>acción correctiva</t>
    </r>
    <r>
      <rPr>
        <sz val="12"/>
        <color theme="1"/>
        <rFont val="Arial"/>
        <family val="2"/>
      </rPr>
      <t>, se sugiere tener en cuenta principio de oportunidad de la información.</t>
    </r>
  </si>
  <si>
    <t xml:space="preserve">De acuerdo a los resultados obtenidos se evidencia que para los periodos de noviembre y diciembre de la vigencia 2018, los recursos empleados para publicidad frente a los ingresos generados para los periodos en mención se utilizaron con mayor eficiencia, lo cual es favorable para la entidad, lo anterior teniendo en cuenta el retorno en términos nominales. </t>
  </si>
  <si>
    <t>El Listado Maestro de Documentos quedó con 655 documentos, de los cuales 406 están migrados al nuevo sistema y por revisar 249.  Se registraron 121 documentos obsoletos.
En el cierre de la vigencia se observa que los líderes de los Macroprocesos no generan necesidades de asesoría para la actualización de la documentación.</t>
  </si>
  <si>
    <t>No se obtuvo ningún reporte.  Se cierra el trimestre con el 50% de 8 Macroprocesos reportados</t>
  </si>
  <si>
    <t>Los resultados obtenidos correspondientes al 16,54%, para el primer periodo de la vigencia muestran que, de conformidad con la meta establecida se está logrando dar una ejecución favorable con respecto al programa de mantenimiento de la plataforma tecnológica de la Empresa de Licores de Cundinamarca.</t>
  </si>
  <si>
    <t>Los resultados obtenidos correspondientes al 16,54%, para el segundo periodo de la vigencia muestran que, de conformidad con la meta establecida se está logrando dar una ejecución favorable con respecto al programa de mantenimiento de la plataforma tecnológica de la Empresa de Licores de Cundinamarca.</t>
  </si>
  <si>
    <t>Los resultados obtenidos correspondientes al 17,32%, para el primer periodo de la vigencia muestran que, de conformidad con la meta establecida se está logrando dar una ejecución favorable con respecto al programa de mantenimiento de la plataforma tecnológica de la Empresa de Licores de Cundinamarca.</t>
  </si>
  <si>
    <t xml:space="preserve">Los resultados de acuerdo al plan de mantenimientos preventivos que se programo, durante el cuarto periodo de la vigencia se realizaron los mantenimientos preventivos a once (11) equipos (Switch), los cuales se encuentran instalados en el DataCenter y los diferentes centros de distribución con los que cuenta la Empresa de Licores de Cundinamarca, así mismo se realizaron los mantenimientos preventivos a diez (10) equipos de cómputo de diferentes áreas de la compañía. Este resultado nos permite evidenciar que la ejecución del plan de mantenimientos preventivos que se viene realizando es favorable con respecto al programa de mantenimiento de la plataforma tecnológica de la Empresa.   </t>
  </si>
  <si>
    <t xml:space="preserve">Los resultados de acuerdo al plan de mantenimientos preventivos que se programo, durante el quinto periodo de la vigencia se realizaron los mantenimientos preventivos a once (11) equipos (Switch), los cuales se encuentran instalados en el DataCenter y los diferentes centros de distribución con los que cuenta la Empresa de Licores de Cundinamarca, así mismo se realizaron los mantenimientos preventivos a diez (10) equipos de cómputo de diferentes áreas de la compañía. Este resultado nos permite evidenciar que la ejecución del plan de mantenimientos preventivos que se viene realizando es favorable con respecto al programa de mantenimiento de la plataforma tecnológica de la Empresa.   </t>
  </si>
  <si>
    <t xml:space="preserve">Los resultados de acuerdo al plan de mantenimientos preventivos que se programo, durante el sexto periodo de la vigencia se realizaron los mantenimientos preventivos a once (11) equipos (Switch), los cuales se encuentran instalados en el DataCenter y los diferentes centros de distribución con los que cuenta la Empresa de Licores de Cundinamarca, así mismo se realizaron los mantenimientos preventivos a diez (10) equipos de cómputo de diferentes áreas de la compañía. Este resultado nos permite evidenciar que la ejecución del plan de mantenimientos preventivos que se viene realizando es favorable con respecto al programa de mantenimiento de la plataforma tecnológica de la Empresa.   </t>
  </si>
  <si>
    <t>Los resultados obtenidos correspondientes al 17,32% para el septimo periodo de la vigencia muestran que, de conformidad con la meta establecida se está logrando dar una ejecución favorable con respecto al programa de mantenimiento de la plataforma tecnologica de la Empresa de Licores de Cundinamarca.</t>
  </si>
  <si>
    <t>Los resultados obtenidos correspondientes al 16,54% para el septimo periodo de la vigencia muestran que, de conformidad con la meta establecida se está logrando dar una ejecución favorable con respecto al programa de mantenimiento de la plataforma tecnologica de la Empresa de Licores de Cundinamarca.</t>
  </si>
  <si>
    <t xml:space="preserve">Los resultados de acuerdo al plan de mantenimientos preventivos que se programaron durante el decimo periodo de la vigencia, se realizaron los mantenimientos preventivos a veintiun (21) equipos y se inicio el levantamiento de informacion para la implementacion de modulo PM de la plataforma tecnológica de la Empresa.   </t>
  </si>
  <si>
    <t>12.1.4.</t>
  </si>
  <si>
    <t>Procesos contractuales Reportados (SIA Contraloria)</t>
  </si>
  <si>
    <t>Medir el nivel de cumplimiento de los procesos elaborados en la plataforma Sia Contraloria</t>
  </si>
  <si>
    <t>No. procesos realizados /No. Procesos Reportados</t>
  </si>
  <si>
    <t xml:space="preserve">Oficina Gestión contractual. </t>
  </si>
  <si>
    <t>A la fecha, con corte a 31 de Diciembre de 2018, y teniendo en cuenta que nos encontramos en el ultimo trimestre del año, no encontramos en un porcentaje de avance del 100%, pero a fin de informar se presenta un total de 524 entre Contratos Marco, Ordenes de compra y de servicio , Convenios.y Cesiones.
Un porcentaje del 100 % en total con la meta establecida.</t>
  </si>
  <si>
    <t>A la fecha de 31 de diciembre de 2018, se reportaron 522 contratos, ordenes y convenios, dos no Reportados por que en la plataforma solo se reportan aquellos que tienen erogacion presupuestal y dos de ellos no llevaban inmerso presupuesto.</t>
  </si>
  <si>
    <t>Cantidad de Vertimientos industriales Generados mensualmente.</t>
  </si>
  <si>
    <t>Con respecto al consumo de agua entre el mes de octubre  del año 2 y el mes de octubre del año 1, se  presenta un aumento en el consumo de agua, esto debido a la producción realizada durante el año 2.</t>
  </si>
  <si>
    <t>Con respecto al consumo de agua entre el mes de noviembre  del año 2 y el mes de noviembre del año 1, se  presenta un aumento en el consumo de agua, esto debido a la producción realizada durante el año 2, y las actividades inherentes a visita del ente competente en ambito de BPM, lo cual conllevo a adelantar acciones de mejora en lo que respecta a proyecto de la planta desmineralizadora, lavado de tanques entre otras actividades con miras de cumplimiento de la norma.</t>
  </si>
  <si>
    <t>Con respecto al consumo de agua entre el mes de diciembre  del año 2 y el mes de diciembre del año 1, se  presenta un aumento en el consumo de agua, esto debido a la producción realizada en el año 2.</t>
  </si>
  <si>
    <t>De acuerdo con el resultado obtenido se concluye que para el mes  de Octubre, por cada unidad producida se genera 0,013 litros de agua residual industrial, es importante resaltar que la cantidad generada de vertimientos industriales está sujeta a la producción de cada periodo.</t>
  </si>
  <si>
    <t>De acuerdo con el resultado obtenido se concluye que para el mes  de Noviembre, por cada unidad producida se genera 0,015 litros de agua residual industrial, es importante resaltar que la cantidad generada de vertimientos industriales está sujeta a la producción de cada periodo, y adicional incrementa los resultados los lavados de tanques, áreas y planta desmineralizadora.</t>
  </si>
  <si>
    <t>De acuerdo con el resultado obtenido se concluye que para el mes  de diciembre, por cada unidad producida se genera 0,052  litros de agua residual industrial, es importante resaltar que la cantidad generada de vertimientos industriales está sujeta a la producción de cada periodo, y adicional incrementa los resultados los lavados de tanques, áreas y planta desmineralizadora.</t>
  </si>
  <si>
    <t>Según los resultados obtenidos, se concluye que para el mes de octubre de 2018,  se presento una reducción en la generación de residuos aprovechables, esto debido a reducción de personal. Así mismo es de tener en cuenta que puede incidir el tipo de producción que se este generando ( Tetrapak - Vidrio).</t>
  </si>
  <si>
    <t>Según los resultados obtenidos se concluye que para el mes de noviembre de 2018, se  genero un incremento  frente al periodo inmediatemnte anterior, lo cual obedece a mayor gestión productiva, lo cual genera resultados de aumento para el presente indicador.</t>
  </si>
  <si>
    <t>Según los resultados obtenidos se concluye que para el mes de diciembre de 2018, se  genero un incremento  frente al periodo inmediatemnte anterior, lo cual obedece a mayor gestión productiva, lo cual genera resultados de aumento para el presente indicador, es resaltar que por tratarse del último periodo de la vigencia se incremento relevantemente la producción teniendo en cuenta los objetivos y metas trazadas por la entidad. Así mismo se generaron otros tipos de residuos (Tapa - Archivo).</t>
  </si>
  <si>
    <t xml:space="preserve">De acuerdo al resultado obtenido se evidencia que para el mes de Octubre de 2018, se presento un aumento en la generación de residuos peligrosos frente al mes anterior, debido a que la producción aumentó. </t>
  </si>
  <si>
    <t xml:space="preserve">De acuerdo al resultado obtenido se evidencia que para el mes de noviembre de 2018, se presento una reducción en la generación de residuos peligrosos frente al mes anterior, debido a que se sensibilizó al personal sobre el manejo adecuado de los residuos. </t>
  </si>
  <si>
    <t>De acuerdo al resultado obtenido se evidencia que para el mes de diciembre de 2018, se presento una reducción en la generación de residuos peligrosos frente al mes anterior, debido a que la producción fue hasta el 21 de diciembre de 2018 y perdura la conciencia de manejo adecuado de residuos.</t>
  </si>
  <si>
    <t>Frente al historico disminución del 5% anual.</t>
  </si>
  <si>
    <t>Disminución en un 5% anual.</t>
  </si>
  <si>
    <t>GESTIÓN AMBIENTAL</t>
  </si>
  <si>
    <t xml:space="preserve">CONSUMO DE AGUA </t>
  </si>
  <si>
    <t xml:space="preserve">ENERO </t>
  </si>
  <si>
    <t xml:space="preserve">FEBRERO </t>
  </si>
  <si>
    <t xml:space="preserve">MARZO </t>
  </si>
  <si>
    <t xml:space="preserve">ABRIL </t>
  </si>
  <si>
    <t xml:space="preserve">AGOSTO </t>
  </si>
  <si>
    <t xml:space="preserve">SEPTIEMBRE </t>
  </si>
  <si>
    <t>ACCIÓN CORRECTIVA</t>
  </si>
  <si>
    <t>CANTIDAD DE VERTIMIENTOS INDUSTRIALES GENERADOS MENSUALMENTE</t>
  </si>
  <si>
    <t>Cantidad de vertimiento dispuesto en litros / Número de  unidades  producidas en el periodo.</t>
  </si>
  <si>
    <t xml:space="preserve"> Número de  unidades  producidas en el periodo.</t>
  </si>
  <si>
    <t>Resultados Obtenidos</t>
  </si>
  <si>
    <t>No se efectua medición de la meta planteada, teniendo en cuenta que se requiere allegar la información del año anterior, con el fin de generar la mediciones y análisis correspondientes.</t>
  </si>
  <si>
    <t>RESIDUOS APROVECHABLES GENERADOS MENSUALMENTE</t>
  </si>
  <si>
    <t>Cantidad de vertimiento dispuesto en litros.</t>
  </si>
  <si>
    <r>
      <t xml:space="preserve">Reducir la </t>
    </r>
    <r>
      <rPr>
        <sz val="12"/>
        <color theme="0" tint="-0.34998626667073579"/>
        <rFont val="Arial"/>
        <family val="2"/>
      </rPr>
      <t>generación</t>
    </r>
    <r>
      <rPr>
        <sz val="12"/>
        <rFont val="Arial"/>
        <family val="2"/>
      </rPr>
      <t xml:space="preserve"> de residuos aprovechables, con respecto al periodo anterior.</t>
    </r>
  </si>
  <si>
    <t>RESIDUOS PELIGROSOS GENERADOS MENSUALMENTE</t>
  </si>
  <si>
    <t>Periodo anterior.</t>
  </si>
  <si>
    <t>Periodo Actual.</t>
  </si>
  <si>
    <t>Kg de Residuos aprovechables generados en el periodo actual - Kg de residuos aprovechables  generados en el periodo anterior.</t>
  </si>
  <si>
    <t>RESULTADOS FAVORABLES</t>
  </si>
  <si>
    <t>Pendiente de información de costos</t>
  </si>
  <si>
    <t>Se  inicia la auditoria de laficina de Gestion Contractual.
Se realiza Auditoria de Calidad ISO 9001-2015 en todas las areas de la ELC</t>
  </si>
  <si>
    <t>Se  inicia la auditoria de la Oficina Asesora Juridica</t>
  </si>
  <si>
    <t>Se  inicia la auditoria de la Oficina Asesora de Planeacion y sistemas de la Informacion y de la Oficina de Control Interno Disciplinario (Gestion documental)</t>
  </si>
  <si>
    <t>Se realiza seguimiento al mapa de riesgos de la ELC con corte Segundo  Semestre 2018. 
Se debe tener en cuenta que la evaluaciión se realiza con corte 15 de Diciembre por finalizacion de contratos. 
Se debe realizar publicacion del mismo el 31 de Enero en la pagina web de la entidad.</t>
  </si>
  <si>
    <t>Informe a entregar Enero 2019</t>
  </si>
  <si>
    <t xml:space="preserve">Se adelanta evaluacion de la Gestion  por dependencias para la Vigencia 2018, se entregará informe al representante legal de la entidad con fecha 31 de Enero de 2019. </t>
  </si>
  <si>
    <t>Se realiza acompañamiento a (02) cierre de Contratacion: 
- Invitacion abierta 021 de 05 de Octubre de 2018 
- Invitacion abierta 023 de 29 de Octubre de 2018
Se realiza (01) acompañamiento a la Subgerencia Administrativa. Tema Bajas de Activos</t>
  </si>
  <si>
    <t xml:space="preserve">Se realiza (01) acompañamiento a cierre de Contratacion: Invitacion abierta 024 de 26 de Noviembre de 2018 
En el periodo evaluado no se solicitaron acompañamientos adicionales a los que se realizan a la Subgerencia Comercial en Seguimiento de tareas de gerencia. </t>
  </si>
  <si>
    <t xml:space="preserve">Se realiza (01) acompañamiento a la Subgerencia Administrativa. Tema. Destruccion archivo documental.  
</t>
  </si>
  <si>
    <t xml:space="preserve">Se realiza seguimiento según  listado Maestro de informes y pagos, se realiza alerta previa iniciando mes por correo electronico y Whatsapp. 
Se realiza seguimiento posterior al finalizar mes con el fin de revisar la entrega oportuna de los mismos, evitando sanciones por la no presentación. 
En la vigencia se realizó envio de 15 informes y 9 pagos a diferentes entidades. 
La OCI entrega informe de Austeridad del Gasto </t>
  </si>
  <si>
    <t>Se realiza seguimiento según  listado Maestro de informes y pagos, se realiza alerta previa iniciando mes por correo electronico y Whatsapp. 
Se realiza seguimiento posterior al finalizar mes con el fin de revisar la entrega oportuna de los mismos, evitando sanciones por la no presentación. 
En la vigencia se realizó envio de 10 informes y 13  pagos a diferentes entidades. 
La OCI entrega informe Pormenorizado de control Interno</t>
  </si>
  <si>
    <t>Se realiza seguimiento según  listado Maestro de informes y pagos, se realiza alerta previa iniciando mes por correo electronico y Whatsapp. 
Se realiza seguimiento posterior al finalizar mes con el fin de revisar la entrega oportuna de los mismos, evitando sanciones por la no presentación. 
En la vigencia se realizó envio de 16 informes y 10  pagos a diferentes entidades. 
La OCI entrega informe Informe de Avance Plan de Mejoramiento
Auditorias Externas Contraloria</t>
  </si>
  <si>
    <r>
      <t xml:space="preserve">No se logra efectuar análisis de resultados obtenidos, esto teniendo en cuenta que a la fecha no se remite reporte de mediciones para la Gestión de Control Interno con corte a 31 de diciembre de 2018, por tanto se requiere plantear </t>
    </r>
    <r>
      <rPr>
        <sz val="12"/>
        <color rgb="FFFF0000"/>
        <rFont val="Arial"/>
        <family val="2"/>
      </rPr>
      <t>acción correctiva</t>
    </r>
    <r>
      <rPr>
        <sz val="12"/>
        <color rgb="FF000000"/>
        <rFont val="Arial"/>
        <family val="2"/>
      </rPr>
      <t>, se sugiere tener en cuenta principio de oportunidad de la información.</t>
    </r>
  </si>
  <si>
    <t xml:space="preserve"> Los materiales recibidos en el período han cumplido, dentro de sus tolerancias, con las especificaciones técnicas establecidas.</t>
  </si>
  <si>
    <t>Durante el segundo semestre se presentaron rechazos y reclamaciones a los proveedores de cajas de cartón corrugado, tapas de seguridad y envases tetra brik.</t>
  </si>
  <si>
    <t>Durante este último semestre se recibieron 88 comunicaciones de distribuidores donde se manifestaban posibles no conformidades por los general organolepticas</t>
  </si>
  <si>
    <t>Para lograr el 100% se debe realizar una depuración y actialización al modulo PM SAP, ya que se encuentran incluidos equipos que en la nueva planta y a raíz de la automatización de los procesos no están en uso.</t>
  </si>
  <si>
    <t>No se logra el 100% debido a inconvenientes contractuales con proveedor de servicios, se reinicia proceso contractual y sondeo de mercados logrando ampliar el número de proveedores de servicios y se dará ejecución el primer trimestre de 2019</t>
  </si>
  <si>
    <t>Se requiere efectuar control de cambios al criterio formula matemática, lo anterior con el fin de realizar las mediciones y análisis pertinentes.
(Número de reclamaciones gestionadas en el semestre / Número de reclamaciones recibidas en el semestre).</t>
  </si>
  <si>
    <t>De acuerdo con los resultados obtenidos se evidencia gestión adecuada, lo cual es acorde con la meta a alcanzar.
Sin embargo se sugiere efectuar control de cambios al criterio formula matemática, lo anterior con el fin de realizar las mediciones y análisis pertinentes.
(Número de reclamaciones a proveedores gestionadas en el semestre / Número de reclamaciones remitidas a proveedores en el semestre).</t>
  </si>
  <si>
    <r>
      <t xml:space="preserve">No se obtienen resultados para el indicador avisos acciones, por tanto se requiere generar la correspondiente </t>
    </r>
    <r>
      <rPr>
        <sz val="12"/>
        <color rgb="FFFF0000"/>
        <rFont val="Arial"/>
        <family val="2"/>
      </rPr>
      <t>acción correctiva</t>
    </r>
    <r>
      <rPr>
        <sz val="12"/>
        <color rgb="FF000000"/>
        <rFont val="Arial"/>
        <family val="2"/>
      </rPr>
      <t>, con el fin de obtener los resultados esperados en términos de mejora continua.
Se requiere efectuar control de cambios al criterio formula matemática, lo anterior con el fin de realizar las mediciones y análisis pertinentes.
(Número de avisos gestionados en el periodo  / Número de total de avisos generados por el sistema de información en el periodo).</t>
    </r>
  </si>
  <si>
    <r>
      <t xml:space="preserve">No se obtienen resultados para el indicador avisos material no conforme, por tanto se requiere generar la correspondiente </t>
    </r>
    <r>
      <rPr>
        <sz val="12"/>
        <color rgb="FFFF0000"/>
        <rFont val="Arial"/>
        <family val="2"/>
      </rPr>
      <t>acción correctiva</t>
    </r>
    <r>
      <rPr>
        <sz val="12"/>
        <color rgb="FF000000"/>
        <rFont val="Arial"/>
        <family val="2"/>
      </rPr>
      <t>, con el fin de obtener los resultados esperados en términos de mejora continua.
Se requiere efectuar control de cambios al criterio formula matemática, lo anterior con el fin de realizar las mediciones y análisis pertinentes.
(Número de avisos de material no conforme gestionados en el periodo  / Número de total de avisos de material no conforme generados por el sistema de información en el periodo).</t>
    </r>
  </si>
  <si>
    <t>De acuerdo a previas solicitudes se adelantaron las pertinentes capacitaciones requeridas, lo cual conlleva a alcanzar los resultados esperados, frente a la meta establecida para el indicador Capacitaciones Ley 734 de 2002, Nuevo Código General Disiciplinario, Reglamento Interno de Trabajo de la Empresa de Licores de Cundinamarca y Estatuto Anticorrupción.</t>
  </si>
  <si>
    <t>De acuerdo a lo reportado se dio impulso procesal a los expedientes disciplinarios en curso durante la vigencia 2018, lo cual conlleva al adelantamiento de la gestión disciplinaria pertinentes, oportuna y efectiva.</t>
  </si>
  <si>
    <r>
      <t>nO</t>
    </r>
    <r>
      <rPr>
        <sz val="12"/>
        <color theme="1"/>
        <rFont val="Arial"/>
        <family val="2"/>
      </rPr>
      <t xml:space="preserve">No se efectua análisis de resultados obtenidos, así mismo no realiza medición frente a la meta planteada, lo anterior teniendo en cuenta que no se allega el pertinente reporte a la gestión de planeación, por tanto se requiere plantear </t>
    </r>
    <r>
      <rPr>
        <sz val="12"/>
        <color rgb="FFFF0000"/>
        <rFont val="Arial"/>
        <family val="2"/>
      </rPr>
      <t>acción correctiva</t>
    </r>
    <r>
      <rPr>
        <sz val="12"/>
        <color theme="1"/>
        <rFont val="Arial"/>
        <family val="2"/>
      </rPr>
      <t xml:space="preserve"> pertinente, lo anterior con el fin de generar mejoramiento continuo. </t>
    </r>
  </si>
  <si>
    <r>
      <t xml:space="preserve">De acuerdo a los resultados obtenidos se evidencia desviación en su totalidad del indicador, por tanto se requiere plantear </t>
    </r>
    <r>
      <rPr>
        <sz val="12"/>
        <color rgb="FFFF0000"/>
        <rFont val="Arial"/>
        <family val="2"/>
      </rPr>
      <t>acción correctiva</t>
    </r>
    <r>
      <rPr>
        <sz val="12"/>
        <color theme="1"/>
        <rFont val="Arial"/>
        <family val="2"/>
      </rPr>
      <t>.</t>
    </r>
  </si>
  <si>
    <r>
      <t xml:space="preserve">De acuerdo a los resultados obtenidos se evidencia desviación en 17 puntos porcentuales del indicador, por tanto se requiere plantear </t>
    </r>
    <r>
      <rPr>
        <sz val="12"/>
        <color rgb="FFFF0000"/>
        <rFont val="Arial"/>
        <family val="2"/>
      </rPr>
      <t>acción correctiva</t>
    </r>
    <r>
      <rPr>
        <sz val="12"/>
        <color theme="1"/>
        <rFont val="Arial"/>
        <family val="2"/>
      </rPr>
      <t>.</t>
    </r>
  </si>
  <si>
    <r>
      <t xml:space="preserve">De acuerdo con los resultados obtenidos y reportados, se visualiza desviación del indicador Consumo de agua, por tanto se requiere plantear </t>
    </r>
    <r>
      <rPr>
        <sz val="12"/>
        <color rgb="FFFF0000"/>
        <rFont val="Arial"/>
        <family val="2"/>
      </rPr>
      <t>acción correctiva</t>
    </r>
    <r>
      <rPr>
        <sz val="12"/>
        <color rgb="FF000000"/>
        <rFont val="Arial"/>
        <family val="2"/>
      </rPr>
      <t>, lo anterior con el fin de generar mejoramiento continuo para la gestión ambiental de la entidad.</t>
    </r>
  </si>
  <si>
    <r>
      <t xml:space="preserve">No se logra efectuar análisis de resultados obtenidos, esto teniendo en cuenta que a la fecha no se remite reporte de mediciones para el indicador capacitaciones a autoridades con corte a 31 de diciembre de 2018, por tanto se requiere plantear </t>
    </r>
    <r>
      <rPr>
        <sz val="12"/>
        <color rgb="FFFF0000"/>
        <rFont val="Arial"/>
        <family val="2"/>
      </rPr>
      <t>acción correctiva</t>
    </r>
    <r>
      <rPr>
        <sz val="12"/>
        <color rgb="FF000000"/>
        <rFont val="Arial"/>
        <family val="2"/>
      </rPr>
      <t>, se sugiere tener en cuenta principio de oportunidad de la información.</t>
    </r>
  </si>
  <si>
    <t>(Inversión en publicidad en el periodo / Ingresos generados en el periodo)*100.</t>
  </si>
  <si>
    <t xml:space="preserve">Programa de Salud Ocupacional.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</si>
</sst>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8" formatCode="&quot;$&quot;\ #,##0.00_);[Red]\(&quot;$&quot;\ #,##0.00\)"/>
    <numFmt numFmtId="41" formatCode="_(* #,##0_);_(* \(#,##0\);_(* &quot;-&quot;_);_(@_)"/>
    <numFmt numFmtId="43" formatCode="_(* #,##0.00_);_(* \(#,##0.00\);_(* &quot;-&quot;??_);_(@_)"/>
    <numFmt numFmtId="164" formatCode="0.0%"/>
    <numFmt numFmtId="165" formatCode="_-* #,##0.0_-;\-* #,##0.0_-;_-* &quot;-&quot;_-;_-@_-"/>
    <numFmt numFmtId="166" formatCode="_-* #,##0.00_-;\-* #,##0.00_-;_-* &quot;-&quot;_-;_-@_-"/>
    <numFmt numFmtId="167" formatCode="_-* #,##0.000_-;\-* #,##0.000_-;_-* &quot;-&quot;_-;_-@_-"/>
    <numFmt numFmtId="168" formatCode="_(* #,##0.0_);_(* \(#,##0.0\);_(* &quot;-&quot;?_);_(@_)"/>
    <numFmt numFmtId="169" formatCode="_-* #,##0_-;\-* #,##0_-;_-* &quot;-&quot;_-;_-@_-"/>
    <numFmt numFmtId="170" formatCode="_(* #,##0_);_(* \(#,##0\);_(* &quot;-&quot;??_);_(@_)"/>
    <numFmt numFmtId="171" formatCode="0.000%"/>
    <numFmt numFmtId="172" formatCode="0.000"/>
  </numFmts>
  <fonts count="28" x14ac:knownFonts="1">
    <font>
      <sz val="11"/>
      <color rgb="FF000000"/>
      <name val="Calibri"/>
      <family val="2"/>
    </font>
    <font>
      <sz val="11"/>
      <color rgb="FF000000"/>
      <name val="Calibri"/>
      <family val="2"/>
    </font>
    <font>
      <sz val="12"/>
      <color rgb="FF000000"/>
      <name val="Arial"/>
      <family val="2"/>
    </font>
    <font>
      <b/>
      <sz val="12"/>
      <color rgb="FF000000"/>
      <name val="Arial"/>
      <family val="2"/>
    </font>
    <font>
      <b/>
      <sz val="12"/>
      <name val="Arial"/>
      <family val="2"/>
    </font>
    <font>
      <b/>
      <sz val="12"/>
      <color theme="1"/>
      <name val="Arial"/>
      <family val="2"/>
    </font>
    <font>
      <sz val="12"/>
      <color rgb="FFFF0000"/>
      <name val="Arial"/>
      <family val="2"/>
    </font>
    <font>
      <sz val="12"/>
      <color theme="1"/>
      <name val="Arial"/>
      <family val="2"/>
    </font>
    <font>
      <sz val="10"/>
      <name val="Arial"/>
      <family val="2"/>
    </font>
    <font>
      <sz val="12"/>
      <name val="Arial"/>
      <family val="2"/>
    </font>
    <font>
      <sz val="12"/>
      <color theme="0" tint="-0.249977111117893"/>
      <name val="Arial"/>
      <family val="2"/>
    </font>
    <font>
      <sz val="12"/>
      <color rgb="FF0070C0"/>
      <name val="Arial"/>
      <family val="2"/>
    </font>
    <font>
      <b/>
      <i/>
      <sz val="12"/>
      <color rgb="FF000000"/>
      <name val="Arial"/>
      <family val="2"/>
    </font>
    <font>
      <b/>
      <sz val="9"/>
      <color indexed="81"/>
      <name val="Tahoma"/>
      <family val="2"/>
    </font>
    <font>
      <sz val="9"/>
      <color indexed="81"/>
      <name val="Tahoma"/>
      <family val="2"/>
    </font>
    <font>
      <b/>
      <sz val="11"/>
      <color indexed="81"/>
      <name val="Tahoma"/>
      <family val="2"/>
    </font>
    <font>
      <sz val="11"/>
      <color indexed="81"/>
      <name val="Tahoma"/>
      <family val="2"/>
    </font>
    <font>
      <b/>
      <sz val="12"/>
      <color indexed="81"/>
      <name val="Tahoma"/>
      <family val="2"/>
    </font>
    <font>
      <sz val="12"/>
      <color indexed="81"/>
      <name val="Tahoma"/>
      <family val="2"/>
    </font>
    <font>
      <u/>
      <sz val="12"/>
      <color rgb="FF00B0F0"/>
      <name val="Arial"/>
      <family val="2"/>
    </font>
    <font>
      <sz val="12"/>
      <color theme="0"/>
      <name val="Arial"/>
      <family val="2"/>
    </font>
    <font>
      <sz val="12"/>
      <color rgb="FFFFC000"/>
      <name val="Arial"/>
      <family val="2"/>
    </font>
    <font>
      <sz val="12"/>
      <color theme="0" tint="-0.34998626667073579"/>
      <name val="Arial"/>
      <family val="2"/>
    </font>
    <font>
      <sz val="11"/>
      <color rgb="FFFF0000"/>
      <name val="Calibri"/>
      <family val="2"/>
    </font>
    <font>
      <sz val="11"/>
      <color rgb="FF00B050"/>
      <name val="Calibri"/>
      <family val="2"/>
    </font>
    <font>
      <sz val="14"/>
      <name val="Arial"/>
      <family val="2"/>
    </font>
    <font>
      <sz val="14"/>
      <color rgb="FF000000"/>
      <name val="Arial"/>
      <family val="2"/>
    </font>
    <font>
      <sz val="12"/>
      <color rgb="FF00B050"/>
      <name val="Arial"/>
      <family val="2"/>
    </font>
  </fonts>
  <fills count="21">
    <fill>
      <patternFill patternType="none"/>
    </fill>
    <fill>
      <patternFill patternType="gray125"/>
    </fill>
    <fill>
      <patternFill patternType="solid">
        <fgColor theme="0"/>
        <bgColor indexed="64"/>
      </patternFill>
    </fill>
    <fill>
      <patternFill patternType="solid">
        <fgColor rgb="FFFFFF00"/>
        <bgColor rgb="FFFFFF00"/>
      </patternFill>
    </fill>
    <fill>
      <patternFill patternType="solid">
        <fgColor rgb="FFFFFF00"/>
        <bgColor rgb="FFFF0000"/>
      </patternFill>
    </fill>
    <fill>
      <patternFill patternType="solid">
        <fgColor rgb="FFFFFF00"/>
        <bgColor rgb="FFFFCC00"/>
      </patternFill>
    </fill>
    <fill>
      <patternFill patternType="solid">
        <fgColor rgb="FFFFFF00"/>
        <bgColor rgb="FF008000"/>
      </patternFill>
    </fill>
    <fill>
      <patternFill patternType="solid">
        <fgColor rgb="FFFFFF00"/>
        <bgColor indexed="64"/>
      </patternFill>
    </fill>
    <fill>
      <patternFill patternType="solid">
        <fgColor theme="0"/>
        <bgColor rgb="FFFFFFCC"/>
      </patternFill>
    </fill>
    <fill>
      <patternFill patternType="solid">
        <fgColor theme="0"/>
        <bgColor rgb="FFEAF1DD"/>
      </patternFill>
    </fill>
    <fill>
      <patternFill patternType="solid">
        <fgColor rgb="FFFF0000"/>
        <bgColor indexed="64"/>
      </patternFill>
    </fill>
    <fill>
      <patternFill patternType="solid">
        <fgColor theme="0"/>
        <bgColor rgb="FFDBE5F1"/>
      </patternFill>
    </fill>
    <fill>
      <patternFill patternType="solid">
        <fgColor theme="0"/>
        <bgColor rgb="FFFFCC00"/>
      </patternFill>
    </fill>
    <fill>
      <patternFill patternType="solid">
        <fgColor theme="0"/>
        <bgColor rgb="FFCCFFCC"/>
      </patternFill>
    </fill>
    <fill>
      <patternFill patternType="solid">
        <fgColor theme="0" tint="-0.14999847407452621"/>
        <bgColor indexed="64"/>
      </patternFill>
    </fill>
    <fill>
      <patternFill patternType="solid">
        <fgColor theme="0"/>
        <bgColor rgb="FFA5A5A5"/>
      </patternFill>
    </fill>
    <fill>
      <patternFill patternType="solid">
        <fgColor theme="0"/>
        <bgColor rgb="FF99CC00"/>
      </patternFill>
    </fill>
    <fill>
      <patternFill patternType="solid">
        <fgColor rgb="FF00B050"/>
        <bgColor indexed="64"/>
      </patternFill>
    </fill>
    <fill>
      <patternFill patternType="solid">
        <fgColor rgb="FFFFFF00"/>
        <bgColor rgb="FFCCFFCC"/>
      </patternFill>
    </fill>
    <fill>
      <patternFill patternType="solid">
        <fgColor rgb="FFFF0000"/>
        <bgColor rgb="FFCCFFCC"/>
      </patternFill>
    </fill>
    <fill>
      <patternFill patternType="solid">
        <fgColor rgb="FF00B050"/>
        <bgColor rgb="FFCCFFCC"/>
      </patternFill>
    </fill>
  </fills>
  <borders count="42">
    <border>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thin">
        <color indexed="64"/>
      </right>
      <top style="medium">
        <color rgb="FF000000"/>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thin">
        <color indexed="64"/>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rgb="FF000000"/>
      </right>
      <top/>
      <bottom style="medium">
        <color rgb="FF000000"/>
      </bottom>
      <diagonal/>
    </border>
    <border>
      <left style="thin">
        <color indexed="64"/>
      </left>
      <right/>
      <top style="thin">
        <color indexed="64"/>
      </top>
      <bottom/>
      <diagonal/>
    </border>
    <border>
      <left/>
      <right/>
      <top style="thin">
        <color indexed="64"/>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8" fillId="0" borderId="0"/>
    <xf numFmtId="0" fontId="8" fillId="0" borderId="0"/>
  </cellStyleXfs>
  <cellXfs count="425">
    <xf numFmtId="0" fontId="0" fillId="0" borderId="0" xfId="0"/>
    <xf numFmtId="0" fontId="2" fillId="2" borderId="0" xfId="0" applyFont="1" applyFill="1"/>
    <xf numFmtId="0" fontId="3" fillId="3" borderId="15"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9" xfId="0" applyFont="1" applyFill="1" applyBorder="1" applyAlignment="1">
      <alignment horizontal="center" vertical="center"/>
    </xf>
    <xf numFmtId="0" fontId="3" fillId="4" borderId="16" xfId="0" applyFont="1" applyFill="1" applyBorder="1" applyAlignment="1">
      <alignment horizontal="center" vertical="center"/>
    </xf>
    <xf numFmtId="0" fontId="3" fillId="5" borderId="3" xfId="0" applyFont="1" applyFill="1" applyBorder="1" applyAlignment="1">
      <alignment horizontal="center" vertical="center"/>
    </xf>
    <xf numFmtId="0" fontId="3" fillId="6" borderId="2"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17" xfId="0" applyFont="1" applyFill="1" applyBorder="1" applyAlignment="1">
      <alignment horizontal="center" vertical="center"/>
    </xf>
    <xf numFmtId="0" fontId="3" fillId="2" borderId="0" xfId="0" applyFont="1" applyFill="1" applyAlignment="1">
      <alignment horizontal="center" vertical="center"/>
    </xf>
    <xf numFmtId="0" fontId="5" fillId="8" borderId="6" xfId="0" applyFont="1" applyFill="1" applyBorder="1" applyAlignment="1">
      <alignment horizontal="center" vertical="center" wrapText="1"/>
    </xf>
    <xf numFmtId="0" fontId="6" fillId="8" borderId="6" xfId="0" applyFont="1" applyFill="1" applyBorder="1" applyAlignment="1">
      <alignment horizontal="left" vertical="center" wrapText="1"/>
    </xf>
    <xf numFmtId="0" fontId="5" fillId="8" borderId="6" xfId="0" applyFont="1" applyFill="1" applyBorder="1" applyAlignment="1">
      <alignment vertical="center" wrapText="1"/>
    </xf>
    <xf numFmtId="0" fontId="2" fillId="9" borderId="6" xfId="0" applyFont="1" applyFill="1" applyBorder="1" applyAlignment="1">
      <alignment horizontal="left" vertical="center" wrapText="1"/>
    </xf>
    <xf numFmtId="0" fontId="7" fillId="2" borderId="6" xfId="0" applyFont="1" applyFill="1" applyBorder="1" applyAlignment="1">
      <alignment horizontal="center"/>
    </xf>
    <xf numFmtId="0" fontId="9" fillId="2" borderId="6" xfId="4" applyFont="1" applyFill="1" applyBorder="1" applyAlignment="1">
      <alignment vertical="center" wrapText="1"/>
    </xf>
    <xf numFmtId="0" fontId="9" fillId="2" borderId="6" xfId="4" applyFont="1" applyFill="1" applyBorder="1" applyAlignment="1">
      <alignment horizontal="center" vertical="center" wrapText="1"/>
    </xf>
    <xf numFmtId="0" fontId="7" fillId="2" borderId="6" xfId="0" applyFont="1" applyFill="1" applyBorder="1" applyAlignment="1">
      <alignment horizontal="center" vertical="center"/>
    </xf>
    <xf numFmtId="10" fontId="7" fillId="2" borderId="20" xfId="0" applyNumberFormat="1" applyFont="1" applyFill="1" applyBorder="1" applyAlignment="1">
      <alignment horizontal="center" vertical="center"/>
    </xf>
    <xf numFmtId="10" fontId="7" fillId="2" borderId="20" xfId="0" applyNumberFormat="1" applyFont="1" applyFill="1" applyBorder="1" applyAlignment="1">
      <alignment horizontal="center"/>
    </xf>
    <xf numFmtId="10" fontId="7" fillId="2" borderId="20" xfId="0" applyNumberFormat="1" applyFont="1" applyFill="1" applyBorder="1"/>
    <xf numFmtId="0" fontId="7" fillId="2" borderId="20" xfId="0" applyFont="1" applyFill="1" applyBorder="1"/>
    <xf numFmtId="0" fontId="7" fillId="2" borderId="6" xfId="0" applyFont="1" applyFill="1" applyBorder="1" applyAlignment="1">
      <alignment horizontal="center" vertical="center" wrapText="1"/>
    </xf>
    <xf numFmtId="10" fontId="2" fillId="2" borderId="0" xfId="3" applyNumberFormat="1" applyFont="1" applyFill="1"/>
    <xf numFmtId="10" fontId="3" fillId="2" borderId="0" xfId="0" applyNumberFormat="1" applyFont="1" applyFill="1" applyAlignment="1">
      <alignment horizontal="center" vertical="center"/>
    </xf>
    <xf numFmtId="0" fontId="9" fillId="2" borderId="6" xfId="4" applyFont="1" applyFill="1" applyBorder="1" applyAlignment="1">
      <alignment horizontal="center" vertical="center"/>
    </xf>
    <xf numFmtId="0" fontId="7" fillId="2" borderId="6" xfId="4" applyFont="1" applyFill="1" applyBorder="1" applyAlignment="1">
      <alignment horizontal="center" vertical="center" wrapText="1"/>
    </xf>
    <xf numFmtId="0" fontId="7" fillId="2" borderId="6" xfId="4" applyFont="1" applyFill="1" applyBorder="1" applyAlignment="1">
      <alignment horizontal="center" vertical="center"/>
    </xf>
    <xf numFmtId="9" fontId="7" fillId="2" borderId="6" xfId="0" applyNumberFormat="1" applyFont="1" applyFill="1" applyBorder="1" applyAlignment="1">
      <alignment horizontal="center" vertical="center" wrapText="1"/>
    </xf>
    <xf numFmtId="0" fontId="7" fillId="2" borderId="6" xfId="4" applyFont="1" applyFill="1" applyBorder="1" applyAlignment="1">
      <alignment horizontal="left" vertical="center" wrapText="1"/>
    </xf>
    <xf numFmtId="0" fontId="7" fillId="2" borderId="6" xfId="0" applyFont="1" applyFill="1" applyBorder="1" applyAlignment="1">
      <alignment horizontal="left" vertical="center" wrapText="1"/>
    </xf>
    <xf numFmtId="9" fontId="7" fillId="2" borderId="6" xfId="0" applyNumberFormat="1" applyFont="1" applyFill="1" applyBorder="1" applyAlignment="1">
      <alignment horizontal="center" vertical="center"/>
    </xf>
    <xf numFmtId="10" fontId="7" fillId="2" borderId="6" xfId="0" applyNumberFormat="1" applyFont="1" applyFill="1" applyBorder="1" applyAlignment="1">
      <alignment horizontal="center" vertical="center"/>
    </xf>
    <xf numFmtId="9" fontId="7" fillId="2" borderId="6" xfId="3" applyFont="1" applyFill="1" applyBorder="1" applyAlignment="1">
      <alignment horizontal="center" vertical="center"/>
    </xf>
    <xf numFmtId="0" fontId="7" fillId="2" borderId="6" xfId="0" applyFont="1" applyFill="1" applyBorder="1"/>
    <xf numFmtId="0" fontId="9" fillId="2" borderId="6" xfId="4" applyFont="1" applyFill="1" applyBorder="1" applyAlignment="1">
      <alignment horizontal="left" vertical="center" wrapText="1"/>
    </xf>
    <xf numFmtId="9" fontId="9" fillId="2" borderId="6" xfId="3" applyFont="1" applyFill="1" applyBorder="1" applyAlignment="1">
      <alignment horizontal="center" vertical="center" wrapText="1"/>
    </xf>
    <xf numFmtId="9" fontId="7" fillId="2" borderId="6" xfId="0" applyNumberFormat="1" applyFont="1" applyFill="1" applyBorder="1" applyAlignment="1">
      <alignment vertical="center" wrapText="1"/>
    </xf>
    <xf numFmtId="0" fontId="6" fillId="11" borderId="6" xfId="0" applyFont="1" applyFill="1" applyBorder="1" applyAlignment="1">
      <alignment horizontal="left" vertical="top" wrapText="1"/>
    </xf>
    <xf numFmtId="9" fontId="9" fillId="2" borderId="6" xfId="4" applyNumberFormat="1" applyFont="1" applyFill="1" applyBorder="1" applyAlignment="1">
      <alignment horizontal="left" vertical="center" wrapText="1"/>
    </xf>
    <xf numFmtId="9" fontId="7" fillId="2" borderId="6" xfId="3" applyFont="1" applyFill="1" applyBorder="1" applyAlignment="1">
      <alignment horizontal="center" vertical="center" wrapText="1"/>
    </xf>
    <xf numFmtId="9" fontId="9" fillId="2" borderId="6" xfId="0" applyNumberFormat="1" applyFont="1" applyFill="1" applyBorder="1" applyAlignment="1">
      <alignment horizontal="center" vertical="center" wrapText="1"/>
    </xf>
    <xf numFmtId="0" fontId="2" fillId="9" borderId="22" xfId="0" applyFont="1" applyFill="1" applyBorder="1" applyAlignment="1">
      <alignment horizontal="left" vertical="center" wrapText="1"/>
    </xf>
    <xf numFmtId="0" fontId="7" fillId="2" borderId="22" xfId="0" applyFont="1" applyFill="1" applyBorder="1" applyAlignment="1">
      <alignment horizontal="center"/>
    </xf>
    <xf numFmtId="0" fontId="9" fillId="2" borderId="22" xfId="4" applyFont="1" applyFill="1" applyBorder="1" applyAlignment="1">
      <alignment horizontal="center" vertical="center"/>
    </xf>
    <xf numFmtId="0" fontId="9" fillId="2" borderId="22" xfId="4" applyFont="1" applyFill="1" applyBorder="1" applyAlignment="1">
      <alignment horizontal="center" vertical="center" wrapText="1"/>
    </xf>
    <xf numFmtId="0" fontId="7" fillId="2" borderId="22" xfId="0" applyFont="1" applyFill="1" applyBorder="1" applyAlignment="1">
      <alignment horizontal="center" vertical="center"/>
    </xf>
    <xf numFmtId="0" fontId="5" fillId="11" borderId="6" xfId="0" applyFont="1" applyFill="1" applyBorder="1" applyAlignment="1">
      <alignment horizontal="center" vertical="center" wrapText="1"/>
    </xf>
    <xf numFmtId="0" fontId="5" fillId="11" borderId="6" xfId="0" applyFont="1" applyFill="1" applyBorder="1" applyAlignment="1">
      <alignment vertical="center"/>
    </xf>
    <xf numFmtId="10" fontId="9" fillId="2" borderId="6" xfId="3" applyNumberFormat="1" applyFont="1" applyFill="1" applyBorder="1" applyAlignment="1">
      <alignment horizontal="center" vertical="center" wrapText="1"/>
    </xf>
    <xf numFmtId="0" fontId="3" fillId="2" borderId="6" xfId="0" applyFont="1" applyFill="1" applyBorder="1" applyAlignment="1">
      <alignment horizontal="center" vertical="center"/>
    </xf>
    <xf numFmtId="9" fontId="9" fillId="2" borderId="6" xfId="3" applyFont="1" applyFill="1" applyBorder="1" applyAlignment="1">
      <alignment horizontal="left" vertical="center" wrapText="1"/>
    </xf>
    <xf numFmtId="0" fontId="9" fillId="0" borderId="6" xfId="4" applyFont="1" applyFill="1" applyBorder="1" applyAlignment="1">
      <alignment horizontal="center" vertical="center" wrapText="1"/>
    </xf>
    <xf numFmtId="10" fontId="9" fillId="0" borderId="6" xfId="3" applyNumberFormat="1" applyFont="1" applyFill="1" applyBorder="1" applyAlignment="1">
      <alignment horizontal="center" vertical="center" wrapText="1"/>
    </xf>
    <xf numFmtId="9" fontId="7" fillId="0" borderId="6"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10" fontId="3" fillId="7" borderId="0" xfId="0" applyNumberFormat="1" applyFont="1" applyFill="1" applyAlignment="1">
      <alignment horizontal="center" vertical="center"/>
    </xf>
    <xf numFmtId="0" fontId="5" fillId="8" borderId="20" xfId="0" applyFont="1" applyFill="1" applyBorder="1" applyAlignment="1">
      <alignment horizontal="center" vertical="center" wrapText="1"/>
    </xf>
    <xf numFmtId="0" fontId="6" fillId="11" borderId="20" xfId="0" applyFont="1" applyFill="1" applyBorder="1" applyAlignment="1">
      <alignment horizontal="left" vertical="top" wrapText="1"/>
    </xf>
    <xf numFmtId="0" fontId="5" fillId="11" borderId="20" xfId="0" applyFont="1" applyFill="1" applyBorder="1" applyAlignment="1">
      <alignment vertical="center"/>
    </xf>
    <xf numFmtId="0" fontId="2" fillId="9" borderId="20" xfId="0" applyFont="1" applyFill="1" applyBorder="1" applyAlignment="1">
      <alignment horizontal="left" vertical="center" wrapText="1"/>
    </xf>
    <xf numFmtId="0" fontId="9" fillId="2" borderId="20" xfId="4" applyFont="1" applyFill="1" applyBorder="1" applyAlignment="1">
      <alignment vertical="center" wrapText="1"/>
    </xf>
    <xf numFmtId="0" fontId="2" fillId="9" borderId="20" xfId="0" applyFont="1" applyFill="1" applyBorder="1" applyAlignment="1">
      <alignment horizontal="center"/>
    </xf>
    <xf numFmtId="0" fontId="9" fillId="2" borderId="20" xfId="4" applyFont="1" applyFill="1" applyBorder="1" applyAlignment="1">
      <alignment horizontal="center" vertical="center" wrapText="1"/>
    </xf>
    <xf numFmtId="9" fontId="9" fillId="0" borderId="6" xfId="3" applyFont="1" applyFill="1" applyBorder="1" applyAlignment="1">
      <alignment horizontal="center" vertical="center" wrapText="1"/>
    </xf>
    <xf numFmtId="9" fontId="9" fillId="0" borderId="6" xfId="3" applyFont="1" applyFill="1" applyBorder="1" applyAlignment="1">
      <alignment horizontal="left" vertical="center" wrapText="1"/>
    </xf>
    <xf numFmtId="0" fontId="2" fillId="9" borderId="6" xfId="0" applyFont="1" applyFill="1" applyBorder="1" applyAlignment="1">
      <alignment horizontal="center"/>
    </xf>
    <xf numFmtId="9" fontId="2" fillId="11" borderId="6" xfId="3" applyFont="1" applyFill="1" applyBorder="1" applyAlignment="1">
      <alignment horizontal="center" vertical="center"/>
    </xf>
    <xf numFmtId="8" fontId="2" fillId="11" borderId="6" xfId="0" applyNumberFormat="1" applyFont="1" applyFill="1" applyBorder="1" applyAlignment="1">
      <alignment horizontal="center" vertical="center" wrapText="1"/>
    </xf>
    <xf numFmtId="3" fontId="2" fillId="11" borderId="6" xfId="0" applyNumberFormat="1" applyFont="1" applyFill="1" applyBorder="1" applyAlignment="1">
      <alignment horizontal="center" vertical="center" wrapText="1"/>
    </xf>
    <xf numFmtId="4" fontId="2" fillId="11" borderId="6" xfId="0" applyNumberFormat="1"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9" borderId="6" xfId="0" applyFont="1" applyFill="1" applyBorder="1" applyAlignment="1">
      <alignment vertical="center"/>
    </xf>
    <xf numFmtId="0" fontId="9" fillId="2" borderId="6" xfId="5" applyFont="1" applyFill="1" applyBorder="1" applyAlignment="1">
      <alignment horizontal="left" vertical="center" wrapText="1"/>
    </xf>
    <xf numFmtId="0" fontId="7" fillId="0" borderId="6" xfId="0" applyFont="1" applyFill="1" applyBorder="1" applyAlignment="1">
      <alignment horizontal="left"/>
    </xf>
    <xf numFmtId="0" fontId="7" fillId="2" borderId="6" xfId="0" applyFont="1" applyFill="1" applyBorder="1" applyAlignment="1">
      <alignment horizontal="left"/>
    </xf>
    <xf numFmtId="0" fontId="5" fillId="0" borderId="6"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5" fillId="0" borderId="6" xfId="0" applyFont="1" applyFill="1" applyBorder="1" applyAlignment="1">
      <alignment vertical="center"/>
    </xf>
    <xf numFmtId="0" fontId="2" fillId="2" borderId="6" xfId="0" applyFont="1" applyFill="1" applyBorder="1" applyAlignment="1">
      <alignment horizontal="left" vertical="center" wrapText="1"/>
    </xf>
    <xf numFmtId="0" fontId="9" fillId="0" borderId="6" xfId="5" applyFont="1" applyFill="1" applyBorder="1" applyAlignment="1">
      <alignment horizontal="left" vertical="center" wrapText="1"/>
    </xf>
    <xf numFmtId="10" fontId="7" fillId="0" borderId="6" xfId="3" applyNumberFormat="1" applyFont="1" applyFill="1" applyBorder="1" applyAlignment="1">
      <alignment horizontal="right"/>
    </xf>
    <xf numFmtId="9" fontId="7" fillId="0" borderId="6" xfId="3" applyFont="1" applyFill="1" applyBorder="1" applyAlignment="1">
      <alignment horizontal="left" wrapText="1"/>
    </xf>
    <xf numFmtId="164" fontId="7" fillId="2" borderId="6" xfId="3" applyNumberFormat="1" applyFont="1" applyFill="1" applyBorder="1" applyAlignment="1">
      <alignment horizontal="right" vertical="center"/>
    </xf>
    <xf numFmtId="9" fontId="7" fillId="0" borderId="6" xfId="0" applyNumberFormat="1" applyFont="1" applyFill="1" applyBorder="1" applyAlignment="1">
      <alignment horizontal="right" vertical="center"/>
    </xf>
    <xf numFmtId="0" fontId="7" fillId="0" borderId="6" xfId="5" applyFont="1" applyFill="1" applyBorder="1" applyAlignment="1">
      <alignment horizontal="left" vertical="center" wrapText="1"/>
    </xf>
    <xf numFmtId="0" fontId="7" fillId="0" borderId="6" xfId="0" applyFont="1" applyFill="1" applyBorder="1" applyAlignment="1">
      <alignment horizontal="left" wrapText="1"/>
    </xf>
    <xf numFmtId="165" fontId="7" fillId="0" borderId="6" xfId="2" applyNumberFormat="1" applyFont="1" applyFill="1" applyBorder="1" applyAlignment="1">
      <alignment horizontal="center" vertical="center"/>
    </xf>
    <xf numFmtId="166" fontId="7" fillId="2" borderId="6" xfId="2" applyNumberFormat="1" applyFont="1" applyFill="1" applyBorder="1" applyAlignment="1">
      <alignment horizontal="left"/>
    </xf>
    <xf numFmtId="0" fontId="7" fillId="2" borderId="6" xfId="0" applyFont="1" applyFill="1" applyBorder="1" applyAlignment="1">
      <alignment horizontal="left" wrapText="1"/>
    </xf>
    <xf numFmtId="165" fontId="7" fillId="2" borderId="6" xfId="2" applyNumberFormat="1" applyFont="1" applyFill="1" applyBorder="1" applyAlignment="1">
      <alignment horizontal="left"/>
    </xf>
    <xf numFmtId="165" fontId="7" fillId="2" borderId="6" xfId="2" applyNumberFormat="1" applyFont="1" applyFill="1" applyBorder="1" applyAlignment="1">
      <alignment vertical="center"/>
    </xf>
    <xf numFmtId="0" fontId="7" fillId="2" borderId="6" xfId="0" applyFont="1" applyFill="1" applyBorder="1" applyAlignment="1">
      <alignment horizontal="right" vertical="center"/>
    </xf>
    <xf numFmtId="0" fontId="2" fillId="9" borderId="6" xfId="0" applyFont="1" applyFill="1" applyBorder="1" applyAlignment="1">
      <alignment vertical="center" wrapText="1"/>
    </xf>
    <xf numFmtId="9" fontId="7" fillId="0" borderId="6" xfId="3" applyFont="1" applyFill="1" applyBorder="1" applyAlignment="1">
      <alignment horizontal="right" vertical="center"/>
    </xf>
    <xf numFmtId="9" fontId="7" fillId="2" borderId="6" xfId="3" applyFont="1" applyFill="1" applyBorder="1" applyAlignment="1">
      <alignment horizontal="right" vertical="center" wrapText="1"/>
    </xf>
    <xf numFmtId="164" fontId="7" fillId="2" borderId="6" xfId="3" applyNumberFormat="1" applyFont="1" applyFill="1" applyBorder="1" applyAlignment="1">
      <alignment vertical="center"/>
    </xf>
    <xf numFmtId="0" fontId="7" fillId="2" borderId="6" xfId="0" applyFont="1" applyFill="1" applyBorder="1" applyAlignment="1">
      <alignment horizontal="left" vertical="center"/>
    </xf>
    <xf numFmtId="167" fontId="7" fillId="2" borderId="6" xfId="2" applyNumberFormat="1" applyFont="1" applyFill="1" applyBorder="1" applyAlignment="1">
      <alignment horizontal="left" vertical="center" wrapText="1"/>
    </xf>
    <xf numFmtId="166" fontId="7" fillId="2" borderId="6" xfId="2" applyNumberFormat="1" applyFont="1" applyFill="1" applyBorder="1" applyAlignment="1">
      <alignment horizontal="left" vertical="center" wrapText="1"/>
    </xf>
    <xf numFmtId="41" fontId="7" fillId="0" borderId="6" xfId="2" applyFont="1" applyFill="1" applyBorder="1" applyAlignment="1">
      <alignment horizontal="left" vertical="center" wrapText="1"/>
    </xf>
    <xf numFmtId="41" fontId="7" fillId="2" borderId="6" xfId="2" applyFont="1" applyFill="1" applyBorder="1" applyAlignment="1">
      <alignment horizontal="left" vertical="center" wrapText="1"/>
    </xf>
    <xf numFmtId="0" fontId="7" fillId="0" borderId="6" xfId="0" applyFont="1" applyFill="1" applyBorder="1" applyAlignment="1">
      <alignment horizontal="left" vertical="center" wrapText="1"/>
    </xf>
    <xf numFmtId="166" fontId="7" fillId="0" borderId="6" xfId="2" applyNumberFormat="1" applyFont="1" applyFill="1" applyBorder="1" applyAlignment="1">
      <alignment horizontal="left" vertical="center" wrapText="1"/>
    </xf>
    <xf numFmtId="165" fontId="7" fillId="2" borderId="6" xfId="2" applyNumberFormat="1" applyFont="1" applyFill="1" applyBorder="1" applyAlignment="1">
      <alignment horizontal="left" vertical="center" wrapText="1"/>
    </xf>
    <xf numFmtId="168" fontId="7" fillId="2" borderId="6" xfId="0" applyNumberFormat="1"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2" fillId="13" borderId="6" xfId="0" applyFont="1" applyFill="1" applyBorder="1" applyAlignment="1">
      <alignment horizontal="center" vertical="center"/>
    </xf>
    <xf numFmtId="0" fontId="9" fillId="0" borderId="20" xfId="4" applyFont="1" applyFill="1" applyBorder="1" applyAlignment="1">
      <alignment horizontal="center" vertical="center" wrapText="1"/>
    </xf>
    <xf numFmtId="0" fontId="2" fillId="13" borderId="6" xfId="3" applyNumberFormat="1" applyFont="1" applyFill="1" applyBorder="1" applyAlignment="1">
      <alignment horizontal="center" vertical="center"/>
    </xf>
    <xf numFmtId="0" fontId="2" fillId="13" borderId="6" xfId="0" applyNumberFormat="1" applyFont="1" applyFill="1" applyBorder="1" applyAlignment="1">
      <alignment horizontal="center" vertical="center"/>
    </xf>
    <xf numFmtId="9" fontId="7" fillId="2" borderId="6" xfId="3" applyFont="1" applyFill="1" applyBorder="1" applyAlignment="1">
      <alignment horizontal="right"/>
    </xf>
    <xf numFmtId="41" fontId="7" fillId="14" borderId="6" xfId="2" applyFont="1" applyFill="1" applyBorder="1" applyAlignment="1">
      <alignment horizontal="center" vertical="center"/>
    </xf>
    <xf numFmtId="169" fontId="7" fillId="2" borderId="6" xfId="0" applyNumberFormat="1" applyFont="1" applyFill="1" applyBorder="1" applyAlignment="1">
      <alignment horizontal="left"/>
    </xf>
    <xf numFmtId="41" fontId="7" fillId="2" borderId="6" xfId="2" applyFont="1" applyFill="1" applyBorder="1" applyAlignment="1">
      <alignment vertical="center"/>
    </xf>
    <xf numFmtId="0" fontId="2" fillId="9" borderId="22" xfId="0" applyFont="1" applyFill="1" applyBorder="1" applyAlignment="1">
      <alignment vertical="center" wrapText="1"/>
    </xf>
    <xf numFmtId="0" fontId="5" fillId="9" borderId="11" xfId="0" applyFont="1" applyFill="1" applyBorder="1" applyAlignment="1">
      <alignment vertical="center"/>
    </xf>
    <xf numFmtId="0" fontId="2" fillId="9" borderId="6" xfId="0" applyFont="1" applyFill="1" applyBorder="1" applyAlignment="1">
      <alignment vertical="top" wrapText="1"/>
    </xf>
    <xf numFmtId="0" fontId="9" fillId="2" borderId="6" xfId="0" applyFont="1" applyFill="1" applyBorder="1" applyAlignment="1">
      <alignment horizontal="center"/>
    </xf>
    <xf numFmtId="0" fontId="9" fillId="2" borderId="6" xfId="0" applyFont="1" applyFill="1" applyBorder="1" applyAlignment="1">
      <alignment horizontal="left" vertical="center" wrapText="1"/>
    </xf>
    <xf numFmtId="0" fontId="9" fillId="2" borderId="6" xfId="5" applyFont="1" applyFill="1" applyBorder="1" applyAlignment="1">
      <alignment horizontal="center" vertical="center" wrapText="1"/>
    </xf>
    <xf numFmtId="0" fontId="11" fillId="2" borderId="6" xfId="0" applyFont="1" applyFill="1" applyBorder="1" applyAlignment="1">
      <alignment horizontal="center"/>
    </xf>
    <xf numFmtId="9" fontId="9" fillId="2" borderId="6" xfId="4" applyNumberFormat="1" applyFont="1" applyFill="1" applyBorder="1" applyAlignment="1">
      <alignment horizontal="center" vertical="center" wrapText="1"/>
    </xf>
    <xf numFmtId="9" fontId="9" fillId="0" borderId="6" xfId="4" applyNumberFormat="1" applyFont="1" applyFill="1" applyBorder="1" applyAlignment="1">
      <alignment horizontal="center" vertical="center" wrapText="1"/>
    </xf>
    <xf numFmtId="9" fontId="7" fillId="2" borderId="6" xfId="3" applyFont="1" applyFill="1" applyBorder="1" applyAlignment="1">
      <alignment horizontal="center"/>
    </xf>
    <xf numFmtId="0" fontId="9" fillId="2" borderId="6" xfId="4" applyNumberFormat="1" applyFont="1" applyFill="1" applyBorder="1" applyAlignment="1">
      <alignment horizontal="center" vertical="center" wrapText="1"/>
    </xf>
    <xf numFmtId="0" fontId="9" fillId="0" borderId="6" xfId="4" applyNumberFormat="1" applyFont="1" applyFill="1" applyBorder="1" applyAlignment="1">
      <alignment horizontal="center" vertical="center" wrapText="1"/>
    </xf>
    <xf numFmtId="0" fontId="7" fillId="2" borderId="6" xfId="0" applyFont="1" applyFill="1" applyBorder="1" applyAlignment="1">
      <alignment horizontal="center" wrapText="1"/>
    </xf>
    <xf numFmtId="9" fontId="7" fillId="2" borderId="6" xfId="0" applyNumberFormat="1" applyFont="1" applyFill="1" applyBorder="1" applyAlignment="1">
      <alignment horizontal="center"/>
    </xf>
    <xf numFmtId="0" fontId="9" fillId="2" borderId="6" xfId="5" applyFont="1" applyFill="1" applyBorder="1" applyAlignment="1">
      <alignment horizontal="justify" vertical="justify" wrapText="1"/>
    </xf>
    <xf numFmtId="9" fontId="9" fillId="0" borderId="6" xfId="3" applyNumberFormat="1" applyFont="1" applyFill="1" applyBorder="1" applyAlignment="1">
      <alignment horizontal="center" vertical="center" wrapText="1"/>
    </xf>
    <xf numFmtId="170" fontId="7" fillId="2" borderId="6" xfId="1" applyNumberFormat="1" applyFont="1" applyFill="1" applyBorder="1" applyAlignment="1">
      <alignment horizontal="center"/>
    </xf>
    <xf numFmtId="10" fontId="7" fillId="2" borderId="6" xfId="0" applyNumberFormat="1" applyFont="1" applyFill="1" applyBorder="1" applyAlignment="1">
      <alignment horizontal="center" vertical="center" wrapText="1"/>
    </xf>
    <xf numFmtId="10" fontId="7" fillId="7" borderId="6" xfId="0" applyNumberFormat="1" applyFont="1" applyFill="1" applyBorder="1" applyAlignment="1">
      <alignment horizontal="center" vertical="center" wrapText="1"/>
    </xf>
    <xf numFmtId="0" fontId="2" fillId="9" borderId="6" xfId="0" applyFont="1" applyFill="1" applyBorder="1" applyAlignment="1">
      <alignment horizontal="center" vertical="center"/>
    </xf>
    <xf numFmtId="0" fontId="9" fillId="9" borderId="6" xfId="0" applyFont="1" applyFill="1" applyBorder="1" applyAlignment="1">
      <alignment horizontal="center" vertical="center" wrapText="1"/>
    </xf>
    <xf numFmtId="9" fontId="2" fillId="9" borderId="6" xfId="0" applyNumberFormat="1" applyFont="1" applyFill="1" applyBorder="1" applyAlignment="1">
      <alignment horizontal="center" vertical="center"/>
    </xf>
    <xf numFmtId="0" fontId="2" fillId="9" borderId="6" xfId="0" applyFont="1" applyFill="1" applyBorder="1"/>
    <xf numFmtId="0" fontId="9" fillId="9" borderId="6" xfId="0" applyFont="1" applyFill="1" applyBorder="1" applyAlignment="1">
      <alignment horizontal="left" vertical="center" wrapText="1"/>
    </xf>
    <xf numFmtId="0" fontId="9" fillId="9" borderId="6" xfId="0" applyFont="1" applyFill="1" applyBorder="1" applyAlignment="1">
      <alignment horizontal="center" wrapText="1"/>
    </xf>
    <xf numFmtId="0" fontId="2" fillId="9" borderId="6" xfId="0" applyFont="1" applyFill="1" applyBorder="1" applyAlignment="1">
      <alignment vertical="center"/>
    </xf>
    <xf numFmtId="0" fontId="2" fillId="9" borderId="6" xfId="0" applyFont="1" applyFill="1" applyBorder="1" applyAlignment="1">
      <alignment horizontal="center" vertical="center" wrapText="1"/>
    </xf>
    <xf numFmtId="10" fontId="2" fillId="9" borderId="6" xfId="0" applyNumberFormat="1" applyFont="1" applyFill="1" applyBorder="1" applyAlignment="1">
      <alignment horizontal="center" vertical="center"/>
    </xf>
    <xf numFmtId="9" fontId="2" fillId="9" borderId="6" xfId="3" applyFont="1" applyFill="1" applyBorder="1" applyAlignment="1">
      <alignment horizontal="center" vertical="center"/>
    </xf>
    <xf numFmtId="0" fontId="2" fillId="9" borderId="6" xfId="0" applyFont="1" applyFill="1" applyBorder="1" applyAlignment="1">
      <alignment horizontal="left" wrapText="1"/>
    </xf>
    <xf numFmtId="0" fontId="2" fillId="9" borderId="6" xfId="0" applyFont="1" applyFill="1" applyBorder="1" applyAlignment="1">
      <alignment horizontal="left"/>
    </xf>
    <xf numFmtId="0" fontId="5" fillId="9" borderId="6" xfId="0" applyFont="1" applyFill="1" applyBorder="1" applyAlignment="1">
      <alignment vertical="center" wrapText="1"/>
    </xf>
    <xf numFmtId="0" fontId="5" fillId="13" borderId="6"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12"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9" fontId="2" fillId="12" borderId="6" xfId="0" applyNumberFormat="1" applyFont="1" applyFill="1" applyBorder="1" applyAlignment="1">
      <alignment horizontal="center" vertical="center"/>
    </xf>
    <xf numFmtId="0" fontId="9" fillId="12" borderId="6" xfId="0" applyFont="1" applyFill="1" applyBorder="1" applyAlignment="1">
      <alignment horizontal="left" vertical="center" wrapText="1"/>
    </xf>
    <xf numFmtId="9" fontId="2" fillId="12" borderId="6" xfId="0" applyNumberFormat="1" applyFont="1" applyFill="1" applyBorder="1" applyAlignment="1">
      <alignment horizontal="center" vertical="center" wrapText="1"/>
    </xf>
    <xf numFmtId="0" fontId="2" fillId="12" borderId="6" xfId="0" applyFont="1" applyFill="1" applyBorder="1" applyAlignment="1">
      <alignment horizontal="left"/>
    </xf>
    <xf numFmtId="10" fontId="2" fillId="12" borderId="6" xfId="0" applyNumberFormat="1" applyFont="1" applyFill="1" applyBorder="1" applyAlignment="1">
      <alignment horizontal="center" vertical="center"/>
    </xf>
    <xf numFmtId="0" fontId="9" fillId="12" borderId="6" xfId="0" applyFont="1" applyFill="1" applyBorder="1" applyAlignment="1">
      <alignment horizontal="left" vertical="top" wrapText="1"/>
    </xf>
    <xf numFmtId="0" fontId="2" fillId="12" borderId="6" xfId="0" applyFont="1" applyFill="1" applyBorder="1" applyAlignment="1">
      <alignment horizontal="left" wrapText="1"/>
    </xf>
    <xf numFmtId="0" fontId="2" fillId="2" borderId="0" xfId="0" applyFont="1" applyFill="1" applyAlignment="1">
      <alignment horizontal="center" vertical="center"/>
    </xf>
    <xf numFmtId="0" fontId="2" fillId="12" borderId="6" xfId="0" applyFont="1" applyFill="1" applyBorder="1" applyAlignment="1">
      <alignment horizontal="left" vertical="top" wrapText="1"/>
    </xf>
    <xf numFmtId="9" fontId="2" fillId="0" borderId="6" xfId="0" applyNumberFormat="1" applyFont="1" applyFill="1" applyBorder="1" applyAlignment="1">
      <alignment horizontal="center" vertical="center"/>
    </xf>
    <xf numFmtId="0" fontId="2" fillId="0" borderId="6" xfId="0" applyFont="1" applyFill="1" applyBorder="1" applyAlignment="1">
      <alignment horizontal="left" wrapText="1"/>
    </xf>
    <xf numFmtId="0" fontId="2" fillId="9" borderId="6" xfId="0" applyFont="1" applyFill="1" applyBorder="1" applyAlignment="1">
      <alignment horizontal="left" vertical="top" wrapText="1"/>
    </xf>
    <xf numFmtId="0" fontId="9" fillId="2" borderId="6" xfId="4" applyFont="1" applyFill="1" applyBorder="1" applyAlignment="1">
      <alignment horizontal="left" vertical="center"/>
    </xf>
    <xf numFmtId="10" fontId="2" fillId="2" borderId="0" xfId="0" applyNumberFormat="1" applyFont="1" applyFill="1"/>
    <xf numFmtId="0" fontId="6" fillId="8" borderId="22" xfId="0" applyFont="1" applyFill="1" applyBorder="1" applyAlignment="1">
      <alignment horizontal="left" vertical="center" wrapText="1"/>
    </xf>
    <xf numFmtId="0" fontId="5" fillId="8" borderId="22" xfId="0" applyFont="1" applyFill="1" applyBorder="1" applyAlignment="1">
      <alignment vertical="center" wrapText="1"/>
    </xf>
    <xf numFmtId="0" fontId="2" fillId="9" borderId="22" xfId="0" applyFont="1" applyFill="1" applyBorder="1" applyAlignment="1">
      <alignment horizontal="center"/>
    </xf>
    <xf numFmtId="0" fontId="7" fillId="2" borderId="22" xfId="0" applyFont="1" applyFill="1" applyBorder="1" applyAlignment="1">
      <alignment horizontal="left" vertical="center" wrapText="1"/>
    </xf>
    <xf numFmtId="0" fontId="7" fillId="2" borderId="22" xfId="4" applyFont="1" applyFill="1" applyBorder="1" applyAlignment="1">
      <alignment horizontal="center" vertical="center" wrapText="1"/>
    </xf>
    <xf numFmtId="0" fontId="9" fillId="12" borderId="22" xfId="0" applyFont="1" applyFill="1" applyBorder="1" applyAlignment="1">
      <alignment horizontal="center" vertical="center" wrapText="1"/>
    </xf>
    <xf numFmtId="0" fontId="2" fillId="9" borderId="11" xfId="0" applyFont="1" applyFill="1" applyBorder="1" applyAlignment="1">
      <alignment horizontal="left" vertical="center" wrapText="1"/>
    </xf>
    <xf numFmtId="9" fontId="7" fillId="2" borderId="22" xfId="0" applyNumberFormat="1" applyFont="1" applyFill="1" applyBorder="1" applyAlignment="1">
      <alignment horizontal="center" vertical="center"/>
    </xf>
    <xf numFmtId="0" fontId="2" fillId="2" borderId="6" xfId="0" applyFont="1" applyFill="1" applyBorder="1"/>
    <xf numFmtId="9" fontId="7" fillId="2" borderId="6" xfId="4" applyNumberFormat="1" applyFont="1" applyFill="1" applyBorder="1" applyAlignment="1">
      <alignment horizontal="center" vertical="center" wrapText="1"/>
    </xf>
    <xf numFmtId="9" fontId="2" fillId="9" borderId="6" xfId="0" applyNumberFormat="1" applyFont="1" applyFill="1" applyBorder="1" applyAlignment="1">
      <alignment horizontal="center"/>
    </xf>
    <xf numFmtId="9" fontId="2" fillId="9" borderId="6" xfId="0" applyNumberFormat="1" applyFont="1" applyFill="1" applyBorder="1"/>
    <xf numFmtId="0" fontId="6" fillId="13" borderId="6" xfId="0" applyFont="1" applyFill="1" applyBorder="1" applyAlignment="1">
      <alignment horizontal="left" vertical="top" wrapText="1"/>
    </xf>
    <xf numFmtId="0" fontId="5" fillId="13" borderId="6" xfId="0" applyFont="1" applyFill="1" applyBorder="1" applyAlignment="1">
      <alignment vertical="center"/>
    </xf>
    <xf numFmtId="0" fontId="2" fillId="13" borderId="6" xfId="0" applyFont="1" applyFill="1" applyBorder="1" applyAlignment="1">
      <alignment horizontal="center"/>
    </xf>
    <xf numFmtId="0" fontId="9" fillId="13" borderId="6" xfId="0" applyFont="1" applyFill="1" applyBorder="1" applyAlignment="1">
      <alignment horizontal="center" vertical="center" wrapText="1"/>
    </xf>
    <xf numFmtId="43" fontId="9" fillId="13" borderId="6" xfId="1" applyFont="1" applyFill="1" applyBorder="1" applyAlignment="1">
      <alignment horizontal="center" vertical="center" wrapText="1"/>
    </xf>
    <xf numFmtId="0" fontId="9" fillId="13" borderId="6" xfId="0" applyFont="1" applyFill="1" applyBorder="1" applyAlignment="1">
      <alignment horizontal="left" vertical="center" wrapText="1"/>
    </xf>
    <xf numFmtId="43" fontId="9" fillId="13" borderId="6" xfId="1" applyNumberFormat="1" applyFont="1" applyFill="1" applyBorder="1" applyAlignment="1">
      <alignment horizontal="center" vertical="center" wrapText="1"/>
    </xf>
    <xf numFmtId="0" fontId="9" fillId="13" borderId="6" xfId="0" applyFont="1" applyFill="1" applyBorder="1" applyAlignment="1">
      <alignment horizontal="right" vertical="center" wrapText="1"/>
    </xf>
    <xf numFmtId="9" fontId="7" fillId="2" borderId="6" xfId="0" applyNumberFormat="1" applyFont="1" applyFill="1" applyBorder="1"/>
    <xf numFmtId="0" fontId="5" fillId="9" borderId="20" xfId="0" applyFont="1" applyFill="1" applyBorder="1" applyAlignment="1">
      <alignment horizontal="center" vertical="center" wrapText="1"/>
    </xf>
    <xf numFmtId="0" fontId="5" fillId="9" borderId="20" xfId="0" applyFont="1" applyFill="1" applyBorder="1" applyAlignment="1">
      <alignment horizontal="left" vertical="center" wrapText="1"/>
    </xf>
    <xf numFmtId="0" fontId="9" fillId="13" borderId="20" xfId="0" applyFont="1" applyFill="1" applyBorder="1" applyAlignment="1">
      <alignment horizontal="center" vertical="center" wrapText="1"/>
    </xf>
    <xf numFmtId="10" fontId="9" fillId="13" borderId="24" xfId="0" applyNumberFormat="1" applyFont="1" applyFill="1" applyBorder="1" applyAlignment="1">
      <alignment horizontal="center" vertical="center" wrapText="1"/>
    </xf>
    <xf numFmtId="0" fontId="9" fillId="13" borderId="20" xfId="0" applyFont="1" applyFill="1" applyBorder="1" applyAlignment="1">
      <alignment horizontal="left" vertical="center" wrapText="1"/>
    </xf>
    <xf numFmtId="10" fontId="9" fillId="13" borderId="20" xfId="0" applyNumberFormat="1" applyFont="1" applyFill="1" applyBorder="1" applyAlignment="1">
      <alignment horizontal="center" vertical="center" wrapText="1"/>
    </xf>
    <xf numFmtId="0" fontId="6" fillId="11" borderId="6" xfId="0" applyFont="1" applyFill="1" applyBorder="1" applyAlignment="1">
      <alignment vertical="top" wrapText="1"/>
    </xf>
    <xf numFmtId="0" fontId="5" fillId="9" borderId="6" xfId="0" applyFont="1" applyFill="1" applyBorder="1" applyAlignment="1">
      <alignment horizontal="left" vertical="center" wrapText="1"/>
    </xf>
    <xf numFmtId="0" fontId="2" fillId="9" borderId="10" xfId="0" applyFont="1" applyFill="1" applyBorder="1" applyAlignment="1">
      <alignment horizontal="left"/>
    </xf>
    <xf numFmtId="0" fontId="2" fillId="9" borderId="20" xfId="0" applyFont="1" applyFill="1" applyBorder="1" applyAlignment="1">
      <alignment vertical="center" wrapText="1"/>
    </xf>
    <xf numFmtId="0" fontId="9" fillId="15" borderId="6" xfId="0" applyFont="1" applyFill="1" applyBorder="1" applyAlignment="1">
      <alignment horizontal="left" vertical="center" wrapText="1"/>
    </xf>
    <xf numFmtId="171" fontId="9" fillId="0" borderId="6" xfId="3" applyNumberFormat="1" applyFont="1" applyFill="1" applyBorder="1" applyAlignment="1">
      <alignment horizontal="left" vertical="center" wrapText="1"/>
    </xf>
    <xf numFmtId="1" fontId="9" fillId="0" borderId="6" xfId="0" applyNumberFormat="1" applyFont="1" applyFill="1" applyBorder="1" applyAlignment="1">
      <alignment horizontal="center" vertical="center" wrapText="1"/>
    </xf>
    <xf numFmtId="172" fontId="9" fillId="13" borderId="6" xfId="0" applyNumberFormat="1" applyFont="1" applyFill="1" applyBorder="1" applyAlignment="1">
      <alignment horizontal="center" vertical="center" wrapText="1"/>
    </xf>
    <xf numFmtId="172" fontId="9" fillId="0" borderId="6" xfId="0" applyNumberFormat="1" applyFont="1" applyFill="1" applyBorder="1" applyAlignment="1">
      <alignment horizontal="center" vertical="center" wrapText="1"/>
    </xf>
    <xf numFmtId="0" fontId="5" fillId="13" borderId="6" xfId="0" applyFont="1" applyFill="1" applyBorder="1" applyAlignment="1">
      <alignment vertical="center" wrapText="1"/>
    </xf>
    <xf numFmtId="10" fontId="9" fillId="13" borderId="6" xfId="0" applyNumberFormat="1" applyFont="1" applyFill="1" applyBorder="1" applyAlignment="1">
      <alignment horizontal="center" vertical="center" wrapText="1"/>
    </xf>
    <xf numFmtId="9" fontId="9" fillId="13" borderId="6" xfId="0" applyNumberFormat="1" applyFont="1" applyFill="1" applyBorder="1" applyAlignment="1">
      <alignment horizontal="center" vertical="center"/>
    </xf>
    <xf numFmtId="9" fontId="9" fillId="13" borderId="6" xfId="3" applyFont="1" applyFill="1" applyBorder="1" applyAlignment="1">
      <alignment horizontal="center" vertical="center" wrapText="1"/>
    </xf>
    <xf numFmtId="9" fontId="9" fillId="13" borderId="6" xfId="0" applyNumberFormat="1" applyFont="1" applyFill="1" applyBorder="1" applyAlignment="1">
      <alignment horizontal="center" vertical="center" wrapText="1"/>
    </xf>
    <xf numFmtId="0" fontId="2" fillId="13" borderId="6" xfId="0" applyFont="1" applyFill="1" applyBorder="1" applyAlignment="1">
      <alignment horizontal="center" vertical="center" wrapText="1"/>
    </xf>
    <xf numFmtId="0" fontId="5" fillId="13" borderId="6" xfId="0" applyFont="1" applyFill="1" applyBorder="1" applyAlignment="1">
      <alignment horizontal="left" vertical="center"/>
    </xf>
    <xf numFmtId="0" fontId="9" fillId="15" borderId="6" xfId="0" applyFont="1" applyFill="1" applyBorder="1" applyAlignment="1">
      <alignment horizontal="center" vertical="center" wrapText="1"/>
    </xf>
    <xf numFmtId="9" fontId="2" fillId="13" borderId="6" xfId="0" applyNumberFormat="1" applyFont="1" applyFill="1" applyBorder="1" applyAlignment="1">
      <alignment horizontal="center" vertical="center"/>
    </xf>
    <xf numFmtId="171" fontId="2" fillId="13" borderId="6" xfId="0" applyNumberFormat="1" applyFont="1" applyFill="1" applyBorder="1" applyAlignment="1">
      <alignment horizontal="center" vertical="center"/>
    </xf>
    <xf numFmtId="0" fontId="2" fillId="13" borderId="6" xfId="0" applyFont="1" applyFill="1" applyBorder="1" applyAlignment="1">
      <alignment horizontal="left" wrapText="1"/>
    </xf>
    <xf numFmtId="0" fontId="9" fillId="16" borderId="6" xfId="0" applyFont="1" applyFill="1" applyBorder="1" applyAlignment="1">
      <alignment horizontal="center"/>
    </xf>
    <xf numFmtId="0" fontId="2" fillId="0" borderId="6" xfId="0" applyFont="1" applyFill="1" applyBorder="1" applyAlignment="1">
      <alignment horizontal="center" vertical="center" wrapText="1"/>
    </xf>
    <xf numFmtId="0" fontId="2" fillId="13" borderId="6" xfId="0" applyFont="1" applyFill="1" applyBorder="1" applyAlignment="1">
      <alignment horizontal="left" vertical="center" wrapText="1"/>
    </xf>
    <xf numFmtId="9" fontId="2" fillId="0" borderId="6" xfId="3" applyFont="1" applyFill="1" applyBorder="1" applyAlignment="1">
      <alignment horizontal="center" vertical="center" wrapText="1"/>
    </xf>
    <xf numFmtId="10" fontId="7" fillId="2" borderId="6" xfId="3" applyNumberFormat="1" applyFont="1" applyFill="1" applyBorder="1" applyAlignment="1">
      <alignment horizontal="center" vertical="center"/>
    </xf>
    <xf numFmtId="0" fontId="9" fillId="13" borderId="6" xfId="0" applyFont="1" applyFill="1" applyBorder="1" applyAlignment="1">
      <alignment horizontal="center" wrapText="1"/>
    </xf>
    <xf numFmtId="0" fontId="2" fillId="13" borderId="6" xfId="0" applyFont="1" applyFill="1" applyBorder="1" applyAlignment="1">
      <alignment horizontal="center" wrapText="1"/>
    </xf>
    <xf numFmtId="0" fontId="2" fillId="13" borderId="6" xfId="0" applyFont="1" applyFill="1" applyBorder="1"/>
    <xf numFmtId="0" fontId="5" fillId="13" borderId="0" xfId="0" applyFont="1" applyFill="1" applyBorder="1" applyAlignment="1">
      <alignment horizontal="center" vertical="center" wrapText="1"/>
    </xf>
    <xf numFmtId="0" fontId="6" fillId="11" borderId="0" xfId="0" applyFont="1" applyFill="1" applyBorder="1" applyAlignment="1">
      <alignment horizontal="center" vertical="top" wrapText="1"/>
    </xf>
    <xf numFmtId="0" fontId="5" fillId="13" borderId="0" xfId="0" applyFont="1" applyFill="1" applyBorder="1" applyAlignment="1">
      <alignment vertical="center"/>
    </xf>
    <xf numFmtId="0" fontId="2" fillId="9" borderId="0" xfId="0" applyFont="1" applyFill="1" applyBorder="1" applyAlignment="1">
      <alignment horizontal="left" vertical="center" wrapText="1"/>
    </xf>
    <xf numFmtId="0" fontId="2" fillId="13" borderId="0" xfId="0" applyFont="1" applyFill="1" applyBorder="1" applyAlignment="1">
      <alignment horizontal="center"/>
    </xf>
    <xf numFmtId="0" fontId="9" fillId="13" borderId="0" xfId="0" applyFont="1" applyFill="1" applyBorder="1" applyAlignment="1">
      <alignment horizontal="left" vertical="center" wrapText="1"/>
    </xf>
    <xf numFmtId="0" fontId="9" fillId="13" borderId="0" xfId="0" applyFont="1" applyFill="1" applyBorder="1" applyAlignment="1">
      <alignment horizontal="center" wrapText="1"/>
    </xf>
    <xf numFmtId="0" fontId="2" fillId="13" borderId="0" xfId="0" applyFont="1" applyFill="1" applyBorder="1" applyAlignment="1">
      <alignment horizontal="center" wrapText="1"/>
    </xf>
    <xf numFmtId="0" fontId="9" fillId="2" borderId="0" xfId="4" applyFont="1" applyFill="1" applyBorder="1" applyAlignment="1">
      <alignment horizontal="center" vertical="center" wrapText="1"/>
    </xf>
    <xf numFmtId="0" fontId="9" fillId="13" borderId="0" xfId="0" applyFont="1" applyFill="1" applyBorder="1" applyAlignment="1">
      <alignment horizontal="center" vertical="center" wrapText="1"/>
    </xf>
    <xf numFmtId="0" fontId="7" fillId="2"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2" fillId="13" borderId="0" xfId="0" applyFont="1" applyFill="1" applyBorder="1"/>
    <xf numFmtId="0" fontId="2" fillId="2" borderId="0" xfId="0" applyFont="1" applyFill="1" applyBorder="1"/>
    <xf numFmtId="0" fontId="3" fillId="2" borderId="0" xfId="0" applyFont="1" applyFill="1" applyBorder="1" applyAlignment="1">
      <alignment vertical="center"/>
    </xf>
    <xf numFmtId="0" fontId="2" fillId="2" borderId="0" xfId="0" applyFont="1" applyFill="1" applyAlignment="1">
      <alignment horizontal="center"/>
    </xf>
    <xf numFmtId="0" fontId="3" fillId="2" borderId="0" xfId="0" applyFont="1" applyFill="1" applyAlignment="1">
      <alignment vertical="center"/>
    </xf>
    <xf numFmtId="0" fontId="2" fillId="2" borderId="0" xfId="0" applyFont="1" applyFill="1" applyAlignment="1">
      <alignment horizontal="center" wrapText="1"/>
    </xf>
    <xf numFmtId="0" fontId="2" fillId="2" borderId="0" xfId="0" applyFont="1" applyFill="1" applyAlignment="1">
      <alignment horizontal="left" vertical="center"/>
    </xf>
    <xf numFmtId="0" fontId="2" fillId="2" borderId="0" xfId="0" applyFont="1" applyFill="1" applyBorder="1" applyAlignment="1">
      <alignment horizontal="center"/>
    </xf>
    <xf numFmtId="9" fontId="2" fillId="2" borderId="0" xfId="0" applyNumberFormat="1" applyFont="1" applyFill="1"/>
    <xf numFmtId="0" fontId="7" fillId="8" borderId="6" xfId="0" applyFont="1" applyFill="1" applyBorder="1" applyAlignment="1">
      <alignment vertical="center" wrapText="1"/>
    </xf>
    <xf numFmtId="0" fontId="5" fillId="11" borderId="6" xfId="0" applyFont="1" applyFill="1" applyBorder="1" applyAlignment="1">
      <alignment vertical="center" wrapText="1"/>
    </xf>
    <xf numFmtId="0" fontId="20" fillId="2" borderId="6"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20" fillId="2" borderId="6" xfId="0" applyFont="1" applyFill="1" applyBorder="1" applyAlignment="1">
      <alignment horizontal="center" vertical="center"/>
    </xf>
    <xf numFmtId="0" fontId="20" fillId="2" borderId="6" xfId="0" applyFont="1" applyFill="1" applyBorder="1"/>
    <xf numFmtId="0" fontId="20" fillId="2" borderId="6" xfId="0" applyFont="1" applyFill="1" applyBorder="1" applyAlignment="1">
      <alignment horizontal="center"/>
    </xf>
    <xf numFmtId="0" fontId="20" fillId="13" borderId="6" xfId="0" applyFont="1" applyFill="1" applyBorder="1"/>
    <xf numFmtId="0" fontId="20" fillId="2" borderId="20" xfId="0" applyFont="1" applyFill="1" applyBorder="1"/>
    <xf numFmtId="9" fontId="20" fillId="2" borderId="6" xfId="0" applyNumberFormat="1" applyFont="1" applyFill="1" applyBorder="1"/>
    <xf numFmtId="0" fontId="20" fillId="2" borderId="21" xfId="0" applyFont="1" applyFill="1" applyBorder="1"/>
    <xf numFmtId="0" fontId="20" fillId="2" borderId="6" xfId="0" applyFont="1" applyFill="1" applyBorder="1" applyAlignment="1">
      <alignment horizontal="left" vertical="center" wrapText="1"/>
    </xf>
    <xf numFmtId="9" fontId="7" fillId="0" borderId="6" xfId="0" applyNumberFormat="1" applyFont="1" applyFill="1" applyBorder="1" applyAlignment="1">
      <alignment horizontal="center" vertical="center" wrapText="1"/>
    </xf>
    <xf numFmtId="9" fontId="7" fillId="0" borderId="6" xfId="3" applyFont="1" applyFill="1" applyBorder="1" applyAlignment="1">
      <alignment horizontal="center" vertical="center"/>
    </xf>
    <xf numFmtId="0" fontId="7" fillId="2" borderId="21" xfId="0" applyFont="1" applyFill="1" applyBorder="1" applyAlignment="1">
      <alignment horizontal="center" vertical="center" wrapText="1"/>
    </xf>
    <xf numFmtId="0" fontId="20" fillId="17" borderId="6" xfId="0" applyFont="1" applyFill="1" applyBorder="1" applyAlignment="1">
      <alignment horizontal="center" vertical="center" wrapText="1"/>
    </xf>
    <xf numFmtId="0" fontId="20" fillId="17" borderId="6" xfId="0" applyFont="1" applyFill="1" applyBorder="1" applyAlignment="1">
      <alignment horizontal="center" vertical="center"/>
    </xf>
    <xf numFmtId="0" fontId="2" fillId="2" borderId="21" xfId="0" applyFont="1" applyFill="1" applyBorder="1" applyAlignment="1">
      <alignment horizontal="center" vertical="center" wrapText="1"/>
    </xf>
    <xf numFmtId="0" fontId="7" fillId="17" borderId="6" xfId="0" applyFont="1" applyFill="1" applyBorder="1" applyAlignment="1">
      <alignment horizontal="center" vertical="center" wrapText="1"/>
    </xf>
    <xf numFmtId="0" fontId="20" fillId="17" borderId="6" xfId="0" applyFont="1" applyFill="1" applyBorder="1"/>
    <xf numFmtId="0" fontId="20" fillId="10" borderId="6" xfId="0" applyFont="1" applyFill="1" applyBorder="1"/>
    <xf numFmtId="9" fontId="7" fillId="2" borderId="22" xfId="0" applyNumberFormat="1" applyFont="1" applyFill="1" applyBorder="1"/>
    <xf numFmtId="10" fontId="7" fillId="2" borderId="6" xfId="0" applyNumberFormat="1" applyFont="1" applyFill="1" applyBorder="1"/>
    <xf numFmtId="9" fontId="21" fillId="0" borderId="6" xfId="0" applyNumberFormat="1" applyFont="1" applyFill="1" applyBorder="1"/>
    <xf numFmtId="0" fontId="20" fillId="17" borderId="20" xfId="0" applyFont="1" applyFill="1" applyBorder="1"/>
    <xf numFmtId="0" fontId="6" fillId="11" borderId="22" xfId="0" applyFont="1" applyFill="1" applyBorder="1" applyAlignment="1">
      <alignment horizontal="left" vertical="top" wrapText="1"/>
    </xf>
    <xf numFmtId="0" fontId="6" fillId="11" borderId="6" xfId="0" applyFont="1" applyFill="1" applyBorder="1" applyAlignment="1">
      <alignment horizontal="center" vertical="top" wrapText="1"/>
    </xf>
    <xf numFmtId="0" fontId="2" fillId="2" borderId="0" xfId="0" applyFont="1" applyFill="1" applyAlignment="1"/>
    <xf numFmtId="0" fontId="9" fillId="0" borderId="6" xfId="5" applyFont="1" applyFill="1" applyBorder="1" applyAlignment="1">
      <alignment horizontal="center" vertical="center" wrapText="1"/>
    </xf>
    <xf numFmtId="1" fontId="9" fillId="2" borderId="6" xfId="4" applyNumberFormat="1" applyFont="1" applyFill="1" applyBorder="1" applyAlignment="1">
      <alignment horizontal="center" vertical="center" wrapText="1"/>
    </xf>
    <xf numFmtId="10" fontId="7" fillId="2" borderId="6" xfId="3" applyNumberFormat="1" applyFont="1" applyFill="1" applyBorder="1" applyAlignment="1">
      <alignment horizontal="center" vertical="center" wrapText="1"/>
    </xf>
    <xf numFmtId="10" fontId="9" fillId="2" borderId="6" xfId="4" applyNumberFormat="1" applyFont="1" applyFill="1" applyBorder="1" applyAlignment="1">
      <alignment horizontal="center" vertical="center" wrapText="1"/>
    </xf>
    <xf numFmtId="9" fontId="9" fillId="2" borderId="6" xfId="3" applyNumberFormat="1" applyFont="1" applyFill="1" applyBorder="1" applyAlignment="1">
      <alignment horizontal="center" vertical="center" wrapText="1"/>
    </xf>
    <xf numFmtId="0" fontId="7" fillId="2" borderId="20" xfId="1" applyNumberFormat="1" applyFont="1" applyFill="1" applyBorder="1" applyAlignment="1">
      <alignment horizontal="left" vertical="center" wrapText="1"/>
    </xf>
    <xf numFmtId="1" fontId="7" fillId="2" borderId="22" xfId="0" applyNumberFormat="1" applyFont="1" applyFill="1" applyBorder="1" applyAlignment="1">
      <alignment horizontal="center" vertical="center"/>
    </xf>
    <xf numFmtId="10" fontId="9" fillId="2" borderId="22" xfId="3" applyNumberFormat="1" applyFont="1" applyFill="1" applyBorder="1" applyAlignment="1">
      <alignment horizontal="left" vertical="center"/>
    </xf>
    <xf numFmtId="0" fontId="7" fillId="0" borderId="6" xfId="0" applyFont="1" applyFill="1" applyBorder="1" applyAlignment="1">
      <alignment horizontal="center"/>
    </xf>
    <xf numFmtId="0" fontId="7" fillId="0" borderId="6" xfId="0" applyFont="1" applyFill="1" applyBorder="1" applyAlignment="1">
      <alignment horizontal="center" vertical="center"/>
    </xf>
    <xf numFmtId="0" fontId="9" fillId="2" borderId="22" xfId="4" applyFont="1" applyFill="1" applyBorder="1" applyAlignment="1">
      <alignment horizontal="left" vertical="center"/>
    </xf>
    <xf numFmtId="0" fontId="9" fillId="2" borderId="20" xfId="4" applyFont="1" applyFill="1" applyBorder="1" applyAlignment="1">
      <alignment horizontal="left" vertical="center" wrapText="1"/>
    </xf>
    <xf numFmtId="0" fontId="3" fillId="2" borderId="0" xfId="0" applyFont="1" applyFill="1" applyAlignment="1">
      <alignment horizontal="left" vertical="center"/>
    </xf>
    <xf numFmtId="9" fontId="3" fillId="2" borderId="0" xfId="0" applyNumberFormat="1" applyFont="1" applyFill="1" applyAlignment="1">
      <alignment horizontal="left" vertical="center"/>
    </xf>
    <xf numFmtId="10" fontId="3" fillId="2" borderId="0" xfId="0" applyNumberFormat="1" applyFont="1" applyFill="1" applyAlignment="1">
      <alignment horizontal="left" vertical="center"/>
    </xf>
    <xf numFmtId="0" fontId="7" fillId="0" borderId="6" xfId="0" applyFont="1" applyFill="1" applyBorder="1" applyAlignment="1">
      <alignment horizontal="left" vertical="center"/>
    </xf>
    <xf numFmtId="0" fontId="2" fillId="2" borderId="6" xfId="0" applyFont="1" applyFill="1" applyBorder="1" applyAlignment="1">
      <alignment horizontal="left" vertical="center"/>
    </xf>
    <xf numFmtId="0" fontId="2" fillId="13" borderId="0" xfId="0" applyFont="1" applyFill="1" applyBorder="1" applyAlignment="1">
      <alignment horizontal="left" wrapText="1"/>
    </xf>
    <xf numFmtId="0" fontId="2" fillId="2" borderId="0" xfId="0" applyFont="1" applyFill="1" applyAlignment="1">
      <alignment horizontal="left"/>
    </xf>
    <xf numFmtId="0" fontId="2" fillId="2" borderId="0" xfId="0" applyFont="1" applyFill="1" applyBorder="1" applyAlignment="1">
      <alignment horizontal="left"/>
    </xf>
    <xf numFmtId="0" fontId="3" fillId="2" borderId="0" xfId="0" applyFont="1" applyFill="1" applyBorder="1" applyAlignment="1">
      <alignment horizontal="left" vertical="center"/>
    </xf>
    <xf numFmtId="0" fontId="9" fillId="2" borderId="22" xfId="4" applyFont="1" applyFill="1" applyBorder="1" applyAlignment="1">
      <alignment horizontal="left" vertical="center" wrapText="1"/>
    </xf>
    <xf numFmtId="0" fontId="9" fillId="2" borderId="6" xfId="0" applyFont="1" applyFill="1" applyBorder="1" applyAlignment="1">
      <alignment horizontal="left" wrapText="1"/>
    </xf>
    <xf numFmtId="9" fontId="9" fillId="2" borderId="6" xfId="4" applyNumberFormat="1" applyFont="1" applyFill="1" applyBorder="1" applyAlignment="1">
      <alignment horizontal="left" vertical="center"/>
    </xf>
    <xf numFmtId="0" fontId="2" fillId="13" borderId="6" xfId="0" applyFont="1" applyFill="1" applyBorder="1" applyAlignment="1">
      <alignment horizontal="left" vertical="center"/>
    </xf>
    <xf numFmtId="9" fontId="2" fillId="9" borderId="6" xfId="0" applyNumberFormat="1" applyFont="1" applyFill="1" applyBorder="1" applyAlignment="1">
      <alignment horizontal="left" vertical="center" wrapText="1"/>
    </xf>
    <xf numFmtId="0" fontId="2" fillId="13" borderId="0" xfId="0" applyFont="1" applyFill="1" applyBorder="1" applyAlignment="1">
      <alignment horizontal="left"/>
    </xf>
    <xf numFmtId="0" fontId="7" fillId="2" borderId="20" xfId="0" applyFont="1" applyFill="1" applyBorder="1" applyAlignment="1">
      <alignment horizontal="left" vertical="center" wrapText="1"/>
    </xf>
    <xf numFmtId="0" fontId="9" fillId="0" borderId="6" xfId="4" applyFont="1" applyFill="1" applyBorder="1" applyAlignment="1">
      <alignment horizontal="left" vertical="center" wrapText="1"/>
    </xf>
    <xf numFmtId="0" fontId="2" fillId="9" borderId="6" xfId="0" applyFont="1" applyFill="1" applyBorder="1" applyAlignment="1">
      <alignment horizontal="left" vertical="center"/>
    </xf>
    <xf numFmtId="9" fontId="9" fillId="13" borderId="6" xfId="0" applyNumberFormat="1" applyFont="1" applyFill="1" applyBorder="1" applyAlignment="1">
      <alignment horizontal="left" vertical="center" wrapText="1"/>
    </xf>
    <xf numFmtId="10" fontId="7" fillId="2" borderId="6" xfId="0" applyNumberFormat="1" applyFont="1" applyFill="1" applyBorder="1" applyAlignment="1">
      <alignment horizontal="left" vertical="center" wrapText="1"/>
    </xf>
    <xf numFmtId="0" fontId="2" fillId="13" borderId="6" xfId="0" applyFont="1" applyFill="1" applyBorder="1" applyAlignment="1">
      <alignment horizontal="left"/>
    </xf>
    <xf numFmtId="9" fontId="2" fillId="12" borderId="6" xfId="0" applyNumberFormat="1" applyFont="1" applyFill="1" applyBorder="1" applyAlignment="1">
      <alignment horizontal="left" vertical="center"/>
    </xf>
    <xf numFmtId="9" fontId="9" fillId="2" borderId="6" xfId="0" applyNumberFormat="1" applyFont="1" applyFill="1" applyBorder="1" applyAlignment="1">
      <alignment horizontal="left" vertical="center" wrapText="1"/>
    </xf>
    <xf numFmtId="0" fontId="9" fillId="2" borderId="6" xfId="0" applyFont="1" applyFill="1" applyBorder="1" applyAlignment="1">
      <alignment horizontal="left"/>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9" fontId="2" fillId="12" borderId="6" xfId="0" applyNumberFormat="1" applyFont="1" applyFill="1" applyBorder="1" applyAlignment="1">
      <alignment horizontal="left" vertical="justify"/>
    </xf>
    <xf numFmtId="0" fontId="2" fillId="12" borderId="6" xfId="0" applyFont="1" applyFill="1" applyBorder="1" applyAlignment="1">
      <alignment horizontal="left" vertical="justify"/>
    </xf>
    <xf numFmtId="10" fontId="9" fillId="2" borderId="20" xfId="4" applyNumberFormat="1" applyFont="1" applyFill="1" applyBorder="1" applyAlignment="1">
      <alignment horizontal="center" vertical="center" wrapText="1"/>
    </xf>
    <xf numFmtId="0" fontId="2" fillId="2" borderId="6" xfId="0" applyFont="1" applyFill="1" applyBorder="1" applyAlignment="1"/>
    <xf numFmtId="10" fontId="7" fillId="0" borderId="6" xfId="3" applyNumberFormat="1" applyFont="1" applyBorder="1" applyAlignment="1">
      <alignment horizontal="center" vertical="center" wrapText="1"/>
    </xf>
    <xf numFmtId="10" fontId="7" fillId="2" borderId="10" xfId="3" applyNumberFormat="1" applyFont="1" applyFill="1" applyBorder="1" applyAlignment="1">
      <alignment horizontal="center" vertical="center" wrapText="1"/>
    </xf>
    <xf numFmtId="10" fontId="7" fillId="2" borderId="6" xfId="3" applyNumberFormat="1" applyFont="1" applyFill="1" applyBorder="1" applyAlignment="1">
      <alignment horizontal="left" vertical="center" wrapText="1"/>
    </xf>
    <xf numFmtId="9" fontId="7" fillId="2" borderId="10" xfId="3" applyFont="1" applyFill="1" applyBorder="1" applyAlignment="1">
      <alignment horizontal="center" vertical="center" wrapText="1"/>
    </xf>
    <xf numFmtId="0" fontId="9" fillId="2" borderId="6" xfId="0" applyFont="1" applyFill="1" applyBorder="1" applyAlignment="1">
      <alignment horizontal="center" vertical="center"/>
    </xf>
    <xf numFmtId="172" fontId="9" fillId="2" borderId="6" xfId="4" applyNumberFormat="1" applyFont="1" applyFill="1" applyBorder="1" applyAlignment="1">
      <alignment horizontal="center" vertical="center" wrapText="1"/>
    </xf>
    <xf numFmtId="9" fontId="9" fillId="13" borderId="6" xfId="3" applyFont="1" applyFill="1" applyBorder="1" applyAlignment="1">
      <alignment horizontal="left" vertical="center" wrapText="1"/>
    </xf>
    <xf numFmtId="9" fontId="2" fillId="13" borderId="6" xfId="3" applyFont="1" applyFill="1" applyBorder="1" applyAlignment="1">
      <alignment horizontal="center" vertical="center"/>
    </xf>
    <xf numFmtId="0" fontId="2" fillId="2" borderId="0" xfId="0" applyFont="1" applyFill="1" applyBorder="1" applyAlignment="1">
      <alignment horizontal="left" wrapText="1"/>
    </xf>
    <xf numFmtId="0" fontId="20" fillId="10" borderId="6" xfId="0" applyFont="1" applyFill="1" applyBorder="1" applyAlignment="1">
      <alignment horizontal="center" vertical="center"/>
    </xf>
    <xf numFmtId="9" fontId="2" fillId="2" borderId="0" xfId="0" applyNumberFormat="1" applyFont="1" applyFill="1" applyAlignment="1"/>
    <xf numFmtId="9" fontId="2" fillId="2" borderId="6" xfId="0" applyNumberFormat="1" applyFont="1" applyFill="1" applyBorder="1" applyAlignment="1">
      <alignment horizontal="center" vertical="center"/>
    </xf>
    <xf numFmtId="0" fontId="7" fillId="0" borderId="11" xfId="0" applyFont="1" applyFill="1" applyBorder="1" applyAlignment="1">
      <alignment horizontal="left" vertical="center" wrapText="1"/>
    </xf>
    <xf numFmtId="164" fontId="2" fillId="13" borderId="6" xfId="0" applyNumberFormat="1" applyFont="1" applyFill="1" applyBorder="1" applyAlignment="1">
      <alignment horizontal="center" vertical="center"/>
    </xf>
    <xf numFmtId="9" fontId="2" fillId="13" borderId="6" xfId="3" applyFont="1" applyFill="1" applyBorder="1" applyAlignment="1">
      <alignment horizontal="center" vertical="center" wrapText="1"/>
    </xf>
    <xf numFmtId="171" fontId="2" fillId="13" borderId="6" xfId="3" applyNumberFormat="1" applyFont="1" applyFill="1" applyBorder="1" applyAlignment="1">
      <alignment horizontal="center" vertical="center" wrapText="1"/>
    </xf>
    <xf numFmtId="0" fontId="2" fillId="18" borderId="6" xfId="0" applyFont="1" applyFill="1" applyBorder="1" applyAlignment="1">
      <alignment horizontal="left" wrapText="1"/>
    </xf>
    <xf numFmtId="0" fontId="3" fillId="7" borderId="2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0" borderId="6" xfId="0" applyFont="1" applyFill="1" applyBorder="1" applyAlignment="1">
      <alignment horizontal="center" vertical="center"/>
    </xf>
    <xf numFmtId="9" fontId="0" fillId="0" borderId="0" xfId="3" applyFont="1"/>
    <xf numFmtId="164" fontId="2" fillId="9" borderId="6" xfId="3" applyNumberFormat="1" applyFont="1" applyFill="1" applyBorder="1" applyAlignment="1">
      <alignment horizontal="center" vertical="center"/>
    </xf>
    <xf numFmtId="10" fontId="2" fillId="9" borderId="6" xfId="3" applyNumberFormat="1" applyFont="1" applyFill="1" applyBorder="1" applyAlignment="1">
      <alignment horizontal="center" vertical="center"/>
    </xf>
    <xf numFmtId="9" fontId="21" fillId="17" borderId="6" xfId="0" applyNumberFormat="1" applyFont="1" applyFill="1" applyBorder="1"/>
    <xf numFmtId="1" fontId="9" fillId="2" borderId="6" xfId="0" applyNumberFormat="1" applyFont="1" applyFill="1" applyBorder="1" applyAlignment="1">
      <alignment horizontal="center" vertical="center" wrapText="1"/>
    </xf>
    <xf numFmtId="171" fontId="9" fillId="2" borderId="6" xfId="3" applyNumberFormat="1" applyFont="1" applyFill="1" applyBorder="1" applyAlignment="1">
      <alignment horizontal="left" vertical="center" wrapText="1"/>
    </xf>
    <xf numFmtId="0" fontId="9" fillId="19" borderId="6" xfId="0" applyFont="1" applyFill="1" applyBorder="1"/>
    <xf numFmtId="0" fontId="0" fillId="0" borderId="6" xfId="0" applyBorder="1"/>
    <xf numFmtId="0" fontId="0" fillId="0" borderId="32" xfId="0" applyBorder="1"/>
    <xf numFmtId="0" fontId="0" fillId="0" borderId="33" xfId="0" applyBorder="1"/>
    <xf numFmtId="0" fontId="0" fillId="0" borderId="30" xfId="0" applyFont="1" applyBorder="1" applyAlignment="1">
      <alignment horizontal="center" vertical="center" wrapText="1"/>
    </xf>
    <xf numFmtId="0" fontId="0" fillId="0" borderId="31" xfId="0" applyBorder="1" applyAlignment="1">
      <alignment vertical="center" wrapText="1"/>
    </xf>
    <xf numFmtId="0" fontId="0" fillId="0" borderId="30" xfId="0" applyBorder="1" applyAlignment="1">
      <alignment horizontal="center" vertical="center" wrapText="1"/>
    </xf>
    <xf numFmtId="0" fontId="9" fillId="13" borderId="6" xfId="0" applyFont="1" applyFill="1" applyBorder="1"/>
    <xf numFmtId="0" fontId="20" fillId="20" borderId="6" xfId="0" applyFont="1" applyFill="1" applyBorder="1"/>
    <xf numFmtId="0" fontId="0" fillId="0" borderId="20" xfId="0" applyBorder="1" applyAlignment="1">
      <alignment vertical="center"/>
    </xf>
    <xf numFmtId="0" fontId="0" fillId="0" borderId="36" xfId="0" applyBorder="1" applyAlignment="1">
      <alignment vertical="center" wrapText="1"/>
    </xf>
    <xf numFmtId="0" fontId="23" fillId="0" borderId="0" xfId="0" applyFont="1" applyAlignment="1">
      <alignment horizont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4" fillId="0" borderId="34" xfId="0" applyFont="1" applyBorder="1"/>
    <xf numFmtId="0" fontId="0" fillId="2" borderId="32" xfId="0" applyFill="1" applyBorder="1"/>
    <xf numFmtId="0" fontId="24" fillId="0" borderId="32" xfId="0" applyFont="1" applyBorder="1"/>
    <xf numFmtId="0" fontId="24" fillId="2" borderId="34" xfId="0" applyFont="1" applyFill="1" applyBorder="1"/>
    <xf numFmtId="0" fontId="24" fillId="2" borderId="32" xfId="0" applyFont="1" applyFill="1" applyBorder="1"/>
    <xf numFmtId="0" fontId="23" fillId="2" borderId="32" xfId="0" applyFont="1" applyFill="1" applyBorder="1"/>
    <xf numFmtId="0" fontId="23" fillId="2" borderId="34" xfId="0" applyFont="1" applyFill="1" applyBorder="1"/>
    <xf numFmtId="0" fontId="25" fillId="13" borderId="6" xfId="0" applyFont="1" applyFill="1" applyBorder="1" applyAlignment="1">
      <alignment horizontal="left" vertical="center" wrapText="1"/>
    </xf>
    <xf numFmtId="9" fontId="25" fillId="0" borderId="6" xfId="0" applyNumberFormat="1" applyFont="1" applyFill="1" applyBorder="1" applyAlignment="1">
      <alignment horizontal="center" vertical="center" wrapText="1"/>
    </xf>
    <xf numFmtId="0" fontId="25" fillId="0" borderId="6" xfId="0" applyFont="1" applyFill="1" applyBorder="1" applyAlignment="1">
      <alignment horizontal="left" vertical="center" wrapText="1"/>
    </xf>
    <xf numFmtId="9" fontId="26" fillId="0" borderId="6" xfId="3" applyFont="1" applyFill="1" applyBorder="1" applyAlignment="1">
      <alignment horizontal="center" vertical="center"/>
    </xf>
    <xf numFmtId="0" fontId="26" fillId="0" borderId="6" xfId="0" applyFont="1" applyFill="1" applyBorder="1" applyAlignment="1">
      <alignment horizontal="left" vertical="center" wrapText="1"/>
    </xf>
    <xf numFmtId="9" fontId="25" fillId="13" borderId="6" xfId="3" applyFont="1" applyFill="1" applyBorder="1" applyAlignment="1">
      <alignment horizontal="center" vertical="center" wrapText="1"/>
    </xf>
    <xf numFmtId="0" fontId="27" fillId="17" borderId="6" xfId="0" applyFont="1" applyFill="1" applyBorder="1" applyAlignment="1">
      <alignment horizontal="left" vertical="center" wrapText="1"/>
    </xf>
    <xf numFmtId="10" fontId="2" fillId="13" borderId="6" xfId="3" applyNumberFormat="1" applyFont="1" applyFill="1" applyBorder="1" applyAlignment="1">
      <alignment horizontal="center" vertical="center" wrapText="1"/>
    </xf>
    <xf numFmtId="10" fontId="2" fillId="13" borderId="6" xfId="0" applyNumberFormat="1" applyFont="1" applyFill="1" applyBorder="1" applyAlignment="1">
      <alignment horizontal="center" vertical="center"/>
    </xf>
    <xf numFmtId="0" fontId="2" fillId="2" borderId="6" xfId="0" applyFont="1" applyFill="1" applyBorder="1" applyAlignment="1">
      <alignment horizontal="center" vertical="center" wrapText="1"/>
    </xf>
    <xf numFmtId="9" fontId="2" fillId="0" borderId="6" xfId="3" applyFont="1" applyFill="1" applyBorder="1" applyAlignment="1">
      <alignment horizontal="center" vertical="center"/>
    </xf>
    <xf numFmtId="0" fontId="3"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left" wrapText="1"/>
    </xf>
    <xf numFmtId="0" fontId="3" fillId="2" borderId="0" xfId="0" applyFont="1" applyFill="1" applyBorder="1" applyAlignment="1">
      <alignment horizontal="center"/>
    </xf>
    <xf numFmtId="0" fontId="2" fillId="2" borderId="1" xfId="0" applyFont="1" applyFill="1" applyBorder="1" applyAlignment="1">
      <alignment horizontal="center" vertical="center"/>
    </xf>
    <xf numFmtId="0" fontId="9" fillId="2" borderId="12" xfId="0" applyFont="1" applyFill="1" applyBorder="1"/>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2" borderId="6" xfId="0" applyFont="1" applyFill="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6" xfId="0" applyFont="1" applyFill="1" applyBorder="1" applyAlignment="1">
      <alignment horizontal="center" wrapText="1"/>
    </xf>
    <xf numFmtId="0" fontId="4" fillId="2" borderId="6" xfId="0" applyFont="1" applyFill="1" applyBorder="1" applyAlignment="1">
      <alignment horizontal="center"/>
    </xf>
    <xf numFmtId="0" fontId="4" fillId="2" borderId="13" xfId="0" applyFont="1" applyFill="1" applyBorder="1" applyAlignment="1">
      <alignment horizontal="center" wrapText="1"/>
    </xf>
    <xf numFmtId="0" fontId="4" fillId="2" borderId="14" xfId="0" applyFont="1" applyFill="1" applyBorder="1" applyAlignment="1">
      <alignment horizontal="center"/>
    </xf>
    <xf numFmtId="0" fontId="6" fillId="11" borderId="22" xfId="0" applyFont="1" applyFill="1" applyBorder="1" applyAlignment="1">
      <alignment horizontal="center" vertical="top" wrapText="1"/>
    </xf>
    <xf numFmtId="0" fontId="6" fillId="11" borderId="23" xfId="0" applyFont="1" applyFill="1" applyBorder="1" applyAlignment="1">
      <alignment horizontal="center" vertical="top" wrapText="1"/>
    </xf>
    <xf numFmtId="0" fontId="6" fillId="11" borderId="20" xfId="0" applyFont="1" applyFill="1" applyBorder="1" applyAlignment="1">
      <alignment horizontal="center" vertical="top"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6" fillId="11" borderId="22" xfId="0" applyFont="1" applyFill="1" applyBorder="1" applyAlignment="1">
      <alignment horizontal="left" vertical="top" wrapText="1"/>
    </xf>
    <xf numFmtId="0" fontId="6" fillId="11" borderId="23" xfId="0" applyFont="1" applyFill="1" applyBorder="1" applyAlignment="1">
      <alignment horizontal="left" vertical="top" wrapText="1"/>
    </xf>
    <xf numFmtId="0" fontId="6" fillId="11" borderId="6" xfId="0" applyFont="1" applyFill="1" applyBorder="1" applyAlignment="1">
      <alignment horizontal="center" vertical="top" wrapText="1"/>
    </xf>
    <xf numFmtId="0" fontId="5" fillId="8" borderId="10"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0" fillId="0" borderId="37" xfId="0" applyBorder="1" applyAlignment="1">
      <alignment horizontal="left"/>
    </xf>
    <xf numFmtId="0" fontId="0" fillId="0" borderId="6" xfId="0" applyBorder="1" applyAlignment="1">
      <alignment horizontal="left"/>
    </xf>
    <xf numFmtId="0" fontId="0" fillId="0" borderId="35" xfId="0" applyBorder="1" applyAlignment="1">
      <alignment horizontal="center" vertical="center"/>
    </xf>
    <xf numFmtId="0" fontId="0" fillId="0" borderId="20" xfId="0" applyBorder="1" applyAlignment="1">
      <alignment horizontal="center" vertical="center"/>
    </xf>
    <xf numFmtId="0" fontId="0" fillId="0" borderId="38" xfId="0" applyBorder="1" applyAlignment="1">
      <alignment horizontal="left"/>
    </xf>
    <xf numFmtId="0" fontId="0" fillId="0" borderId="33" xfId="0" applyBorder="1" applyAlignment="1">
      <alignment horizontal="left"/>
    </xf>
    <xf numFmtId="0" fontId="3" fillId="0" borderId="27" xfId="0" applyFont="1" applyBorder="1" applyAlignment="1">
      <alignment horizontal="center"/>
    </xf>
    <xf numFmtId="0" fontId="3" fillId="0" borderId="26" xfId="0" applyFont="1" applyBorder="1" applyAlignment="1">
      <alignment horizontal="center"/>
    </xf>
    <xf numFmtId="0" fontId="3" fillId="0" borderId="28" xfId="0" applyFont="1" applyBorder="1" applyAlignment="1">
      <alignment horizont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cellXfs>
  <cellStyles count="6">
    <cellStyle name="Millares" xfId="1" builtinId="3"/>
    <cellStyle name="Millares [0]" xfId="2" builtinId="6"/>
    <cellStyle name="Normal" xfId="0" builtinId="0"/>
    <cellStyle name="Normal 10" xfId="5"/>
    <cellStyle name="Normal 2" xfId="4"/>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25512</xdr:rowOff>
    </xdr:from>
    <xdr:to>
      <xdr:col>7</xdr:col>
      <xdr:colOff>285750</xdr:colOff>
      <xdr:row>8</xdr:row>
      <xdr:rowOff>25512</xdr:rowOff>
    </xdr:to>
    <xdr:sp macro="" textlink="">
      <xdr:nvSpPr>
        <xdr:cNvPr id="2" name="AutoShape 13"/>
        <xdr:cNvSpPr>
          <a:spLocks noChangeArrowheads="1"/>
        </xdr:cNvSpPr>
      </xdr:nvSpPr>
      <xdr:spPr bwMode="auto">
        <a:xfrm>
          <a:off x="0" y="25512"/>
          <a:ext cx="19688175" cy="10763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285750</xdr:colOff>
      <xdr:row>8</xdr:row>
      <xdr:rowOff>0</xdr:rowOff>
    </xdr:to>
    <xdr:sp macro="" textlink="">
      <xdr:nvSpPr>
        <xdr:cNvPr id="3" name="AutoShape 13"/>
        <xdr:cNvSpPr>
          <a:spLocks noChangeArrowheads="1"/>
        </xdr:cNvSpPr>
      </xdr:nvSpPr>
      <xdr:spPr bwMode="auto">
        <a:xfrm>
          <a:off x="0" y="0"/>
          <a:ext cx="19688175" cy="10763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285750</xdr:colOff>
      <xdr:row>8</xdr:row>
      <xdr:rowOff>0</xdr:rowOff>
    </xdr:to>
    <xdr:sp macro="" textlink="">
      <xdr:nvSpPr>
        <xdr:cNvPr id="4" name="AutoShape 13"/>
        <xdr:cNvSpPr>
          <a:spLocks noChangeArrowheads="1"/>
        </xdr:cNvSpPr>
      </xdr:nvSpPr>
      <xdr:spPr bwMode="auto">
        <a:xfrm>
          <a:off x="0" y="0"/>
          <a:ext cx="19688175" cy="10763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980184</xdr:colOff>
      <xdr:row>0</xdr:row>
      <xdr:rowOff>109781</xdr:rowOff>
    </xdr:from>
    <xdr:to>
      <xdr:col>0</xdr:col>
      <xdr:colOff>2109837</xdr:colOff>
      <xdr:row>2</xdr:row>
      <xdr:rowOff>376481</xdr:rowOff>
    </xdr:to>
    <xdr:pic>
      <xdr:nvPicPr>
        <xdr:cNvPr id="5" name="1 Imagen" descr="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0184" y="109781"/>
          <a:ext cx="1129653"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a.blanco.ELC/Desktop/OFICINA%20ASESORA%20DE%20PLANEACION%20Y%20SISTEMAS%20ELC/SGC/HOJAS%20DE%20VIDA%20INDICADORES%20DE%20GESTI&#211;N/TRAZABILIDAD%20MATRIZ%20DE%20INDICADORES%20CONSOLIDADA/MATRIZ%20IC%20203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iana.blanco.ELC/Desktop/OFICINA%20ASESORA%20DE%20PLANEACION%20Y%20SISTEMAS%20ELC/SGC/HOJAS%20DE%20VIDA%20INDICADORES%20DE%20GESTI&#211;N/TRAZABILIDAD%20MATRIZ%20DE%20INDICADORES%20CONSOLIDADA/MATRIZ%20SISTEMA%20DE%20MEDICI&#211;N/REPORTE%20COELC-3103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iana.blanco.ELC/Desktop/OFICINA%20ASESORA%20DE%20PLANEACION%20Y%20SISTEMAS%20ELC/SGC/HOJAS%20DE%20VIDA%20INDICADORES%20DE%20GESTI&#211;N/INDICADORES%201%20Y%202%20TRIM%20A&#209;O%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ana.blanco.ELC/Desktop/OFICINA%20ASESORA%20DE%20PLANEACION%20Y%20SISTEMAS%20ELC/SGC/HOJAS%20DE%20VIDA%20INDICADORES%20DE%20GESTI&#211;N/TRAZABILIDAD%20MATRIZ%20DE%20INDICADORES%20CONSOLIDADA/REPORTE%20COELC-3103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iana.blanco.ELC/Desktop/OFICINA%20ASESORA%20DE%20PLANEACION%20Y%20SISTEMAS%20ELC/SGC/HOJAS%20DE%20VIDA%20INDICADORES%20DE%20GESTI&#211;N/TRAZABILIDAD%20MATRIZ%20DE%20INDICADORES%20CONSOLIDADA/CONTROL%20DE%20CALIDAD/REPOR_RECLAM_1004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INDICADORES POR PROCESO"/>
      <sheetName val="MATRIZ  INDICADORES02032018"/>
      <sheetName val="Hoja1"/>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MARZO"/>
      <sheetName val="PLANEACION Y SISTEMAS"/>
      <sheetName val="INDICADORES CECO"/>
      <sheetName val=""/>
      <sheetName val="Hoja2"/>
      <sheetName val="Hoja1"/>
    </sheetNames>
    <sheetDataSet>
      <sheetData sheetId="0"/>
      <sheetData sheetId="1"/>
      <sheetData sheetId="2">
        <row r="8">
          <cell r="E8">
            <v>3.7593785937870196E-2</v>
          </cell>
        </row>
        <row r="9">
          <cell r="E9">
            <v>5.4651780477022203E-2</v>
          </cell>
          <cell r="G9">
            <v>2.6352882954355838E-2</v>
          </cell>
          <cell r="I9">
            <v>3.1282443312204478E-2</v>
          </cell>
        </row>
        <row r="10">
          <cell r="E10">
            <v>7.8199765175772148E-3</v>
          </cell>
          <cell r="G10">
            <v>1.3998372658984548E-2</v>
          </cell>
          <cell r="I10">
            <v>6.8133628944793689E-3</v>
          </cell>
        </row>
        <row r="13">
          <cell r="E13">
            <v>3.133658323285049E-2</v>
          </cell>
          <cell r="G13">
            <v>2.1099331825784374E-2</v>
          </cell>
          <cell r="I13">
            <v>9.9431663446479662E-3</v>
          </cell>
        </row>
        <row r="14">
          <cell r="E14">
            <v>0.14979023375084144</v>
          </cell>
          <cell r="G14">
            <v>0.11146003729086415</v>
          </cell>
          <cell r="I14">
            <v>9.4666121457890232E-2</v>
          </cell>
        </row>
        <row r="20">
          <cell r="E20">
            <v>9.0111444974363422E-2</v>
          </cell>
          <cell r="G20">
            <v>0.11817531616182869</v>
          </cell>
          <cell r="I20">
            <v>7.5181839106778114E-2</v>
          </cell>
        </row>
      </sheetData>
      <sheetData sheetId="3" refreshError="1"/>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ECO 1ER TRIM"/>
      <sheetName val="INDICADORES CECO 2DO TRIM"/>
      <sheetName val="Gráfico1"/>
      <sheetName val="Gráfico2"/>
      <sheetName val="Gráfico3"/>
    </sheetNames>
    <sheetDataSet>
      <sheetData sheetId="0"/>
      <sheetData sheetId="1">
        <row r="28">
          <cell r="D28">
            <v>3.7078725449692165E-2</v>
          </cell>
          <cell r="F28">
            <v>2.4506304681524326E-2</v>
          </cell>
          <cell r="H28">
            <v>5.9672805163798314E-3</v>
          </cell>
        </row>
        <row r="29">
          <cell r="D29">
            <v>2.7605380571081584E-2</v>
          </cell>
          <cell r="F29">
            <v>1.3510801883605686E-2</v>
          </cell>
          <cell r="H29">
            <v>2.0143693379182904E-3</v>
          </cell>
        </row>
        <row r="32">
          <cell r="D32">
            <v>1.235502210964607E-2</v>
          </cell>
          <cell r="F32">
            <v>1.6837630953772935E-2</v>
          </cell>
          <cell r="H32">
            <v>5.76053313618358E-3</v>
          </cell>
        </row>
        <row r="33">
          <cell r="D33">
            <v>0.12160299584429302</v>
          </cell>
          <cell r="F33">
            <v>6.1033318467232332E-2</v>
          </cell>
          <cell r="H33">
            <v>4.4014603304537804E-2</v>
          </cell>
        </row>
        <row r="34">
          <cell r="D34">
            <v>-4.4600869326120269E-3</v>
          </cell>
          <cell r="F34">
            <v>5.8386985281204083E-2</v>
          </cell>
          <cell r="H34">
            <v>0.75591700598412448</v>
          </cell>
        </row>
        <row r="35">
          <cell r="D35">
            <v>3.350952039539519E-2</v>
          </cell>
          <cell r="F35">
            <v>2.1120401341199486E-2</v>
          </cell>
          <cell r="H35">
            <v>6.5209919291844319E-3</v>
          </cell>
        </row>
        <row r="36">
          <cell r="D36">
            <v>5.9396230662425191E-3</v>
          </cell>
          <cell r="F36">
            <v>5.7043208001851791E-3</v>
          </cell>
          <cell r="H36">
            <v>1.5498273963301377E-3</v>
          </cell>
        </row>
        <row r="37">
          <cell r="D37">
            <v>2.6013966308909783E-2</v>
          </cell>
          <cell r="F37">
            <v>1.0629214932194757E-2</v>
          </cell>
          <cell r="H37">
            <v>1.808365465714893E-2</v>
          </cell>
        </row>
        <row r="40">
          <cell r="D40">
            <v>0.31452067899106406</v>
          </cell>
          <cell r="F40">
            <v>0.42834991514208404</v>
          </cell>
          <cell r="H40">
            <v>7.5975066645455988E-2</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MARZO"/>
      <sheetName val="PLANEACION Y SISTEMAS"/>
      <sheetName val="INDICADORES CECO"/>
      <sheetName val="Hoja1"/>
      <sheetName val="Hoja2"/>
    </sheetNames>
    <sheetDataSet>
      <sheetData sheetId="0"/>
      <sheetData sheetId="1"/>
      <sheetData sheetId="2">
        <row r="21">
          <cell r="E21">
            <v>0.35791237201679194</v>
          </cell>
          <cell r="G21">
            <v>0.24790434014631613</v>
          </cell>
          <cell r="I21">
            <v>0.11090570143018763</v>
          </cell>
        </row>
      </sheetData>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2018"/>
      <sheetName val="08.2018"/>
      <sheetName val="11.2018"/>
      <sheetName val="13.2018"/>
      <sheetName val="14.2018"/>
    </sheetNames>
    <sheetDataSet>
      <sheetData sheetId="0"/>
      <sheetData sheetId="1">
        <row r="18">
          <cell r="G18">
            <v>0.83333333333333337</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900"/>
  <sheetViews>
    <sheetView showGridLines="0" view="pageBreakPreview" topLeftCell="AO1" zoomScale="93" zoomScaleNormal="28" zoomScaleSheetLayoutView="93" workbookViewId="0">
      <pane ySplit="4" topLeftCell="A84" activePane="bottomLeft" state="frozen"/>
      <selection pane="bottomLeft" activeCell="AS84" sqref="AS84"/>
    </sheetView>
  </sheetViews>
  <sheetFormatPr baseColWidth="10" defaultColWidth="12.5703125" defaultRowHeight="15" customHeight="1" x14ac:dyDescent="0.2"/>
  <cols>
    <col min="1" max="1" width="49" style="277" bestFit="1" customWidth="1"/>
    <col min="2" max="2" width="7.42578125" style="277" customWidth="1"/>
    <col min="3" max="3" width="70" style="277" bestFit="1" customWidth="1"/>
    <col min="4" max="4" width="8.7109375" style="277" customWidth="1"/>
    <col min="5" max="5" width="43.140625" style="296" customWidth="1"/>
    <col min="6" max="6" width="11.42578125" style="277" customWidth="1"/>
    <col min="7" max="7" width="101.28515625" style="296" customWidth="1"/>
    <col min="8" max="8" width="93.5703125" style="296" customWidth="1"/>
    <col min="9" max="9" width="19.85546875" style="244" customWidth="1"/>
    <col min="10" max="10" width="64.7109375" style="246" customWidth="1"/>
    <col min="11" max="11" width="64.7109375" style="244" customWidth="1"/>
    <col min="12" max="12" width="32" style="244" customWidth="1"/>
    <col min="13" max="14" width="32.140625" style="166" customWidth="1"/>
    <col min="15" max="15" width="25.140625" style="166" customWidth="1"/>
    <col min="16" max="16" width="64.7109375" style="296" customWidth="1"/>
    <col min="17" max="17" width="32.85546875" style="166" bestFit="1" customWidth="1"/>
    <col min="18" max="18" width="70.28515625" style="247" customWidth="1"/>
    <col min="19" max="19" width="47.42578125" style="166" customWidth="1"/>
    <col min="20" max="20" width="64.7109375" style="296" customWidth="1"/>
    <col min="21" max="21" width="32.140625" style="244" customWidth="1"/>
    <col min="22" max="22" width="55.28515625" style="296" customWidth="1"/>
    <col min="23" max="23" width="32.140625" style="277" customWidth="1"/>
    <col min="24" max="24" width="40.5703125" style="296" customWidth="1"/>
    <col min="25" max="25" width="32.140625" style="277" customWidth="1"/>
    <col min="26" max="26" width="45.42578125" style="296" customWidth="1"/>
    <col min="27" max="27" width="32.140625" style="277" customWidth="1"/>
    <col min="28" max="28" width="32.140625" style="296" customWidth="1"/>
    <col min="29" max="29" width="32.140625" style="277" customWidth="1"/>
    <col min="30" max="30" width="32.140625" style="296" customWidth="1"/>
    <col min="31" max="31" width="32.140625" style="277" customWidth="1"/>
    <col min="32" max="32" width="32.140625" style="296" customWidth="1"/>
    <col min="33" max="33" width="32.140625" style="277" customWidth="1"/>
    <col min="34" max="34" width="32.140625" style="296" customWidth="1"/>
    <col min="35" max="35" width="32.140625" style="277" customWidth="1"/>
    <col min="36" max="36" width="32.140625" style="296" customWidth="1"/>
    <col min="37" max="37" width="32.140625" style="277" customWidth="1"/>
    <col min="38" max="38" width="33.5703125" style="296" customWidth="1"/>
    <col min="39" max="39" width="40" style="166" customWidth="1"/>
    <col min="40" max="40" width="53.28515625" style="166" customWidth="1"/>
    <col min="41" max="41" width="14.7109375" style="277" customWidth="1"/>
    <col min="42" max="42" width="14.85546875" style="277" customWidth="1"/>
    <col min="43" max="43" width="13.42578125" style="277" customWidth="1"/>
    <col min="44" max="44" width="45.7109375" style="277" bestFit="1" customWidth="1"/>
    <col min="45" max="45" width="45.7109375" style="166" customWidth="1"/>
    <col min="46" max="46" width="38" style="277" hidden="1" customWidth="1"/>
    <col min="47" max="47" width="44" style="277" hidden="1" customWidth="1"/>
    <col min="48" max="48" width="10" style="277" hidden="1" customWidth="1"/>
    <col min="49" max="49" width="23" style="277" hidden="1" customWidth="1"/>
    <col min="50" max="50" width="244" style="277" hidden="1" customWidth="1"/>
    <col min="51" max="51" width="137.42578125" style="277" hidden="1" customWidth="1"/>
    <col min="52" max="53" width="14.42578125" style="277" hidden="1" customWidth="1"/>
    <col min="54" max="54" width="19.7109375" style="277" hidden="1" customWidth="1"/>
    <col min="55" max="55" width="13.85546875" style="277" hidden="1" customWidth="1"/>
    <col min="56" max="56" width="14.42578125" style="277" hidden="1" customWidth="1"/>
    <col min="57" max="57" width="13.85546875" style="277" hidden="1" customWidth="1"/>
    <col min="58" max="59" width="13.140625" style="277" hidden="1" customWidth="1"/>
    <col min="60" max="60" width="14.42578125" style="277" hidden="1" customWidth="1"/>
    <col min="61" max="61" width="0" style="277" hidden="1" customWidth="1"/>
    <col min="62" max="16384" width="12.5703125" style="277"/>
  </cols>
  <sheetData>
    <row r="1" spans="1:62" ht="36.75" customHeight="1" x14ac:dyDescent="0.2">
      <c r="A1" s="385"/>
      <c r="B1" s="387" t="s">
        <v>0</v>
      </c>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9"/>
      <c r="AH1" s="314"/>
      <c r="AI1" s="393" t="s">
        <v>1</v>
      </c>
      <c r="AJ1" s="393"/>
      <c r="AK1" s="393"/>
      <c r="AL1" s="393"/>
      <c r="AM1" s="393"/>
      <c r="AN1" s="393"/>
      <c r="AO1" s="393"/>
      <c r="AP1" s="393"/>
      <c r="AQ1" s="393"/>
      <c r="AR1" s="393"/>
      <c r="AS1" s="339"/>
      <c r="AT1" s="1"/>
      <c r="AU1" s="1"/>
      <c r="AV1" s="1"/>
      <c r="AW1" s="1"/>
      <c r="AX1" s="1"/>
      <c r="AY1" s="1"/>
    </row>
    <row r="2" spans="1:62" ht="36.75" customHeight="1" thickBot="1" x14ac:dyDescent="0.25">
      <c r="A2" s="385"/>
      <c r="B2" s="390"/>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2"/>
      <c r="AH2" s="315"/>
      <c r="AI2" s="394" t="s">
        <v>2</v>
      </c>
      <c r="AJ2" s="395"/>
      <c r="AK2" s="395"/>
      <c r="AL2" s="395"/>
      <c r="AM2" s="395"/>
      <c r="AN2" s="395"/>
      <c r="AO2" s="395"/>
      <c r="AP2" s="395"/>
      <c r="AQ2" s="395"/>
      <c r="AR2" s="395"/>
      <c r="AS2" s="339"/>
      <c r="AT2" s="1"/>
      <c r="AU2" s="1"/>
      <c r="AV2" s="1"/>
      <c r="AW2" s="1"/>
      <c r="AX2" s="1"/>
      <c r="AY2" s="1"/>
    </row>
    <row r="3" spans="1:62" ht="42" customHeight="1" thickBot="1" x14ac:dyDescent="0.3">
      <c r="A3" s="386"/>
      <c r="B3" s="387" t="s">
        <v>1234</v>
      </c>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15"/>
      <c r="AI3" s="396" t="s">
        <v>3</v>
      </c>
      <c r="AJ3" s="396"/>
      <c r="AK3" s="397"/>
      <c r="AL3" s="397"/>
      <c r="AM3" s="397"/>
      <c r="AN3" s="397"/>
      <c r="AO3" s="398" t="s">
        <v>4</v>
      </c>
      <c r="AP3" s="399"/>
      <c r="AQ3" s="399"/>
      <c r="AR3" s="399"/>
      <c r="AS3" s="339"/>
      <c r="AT3" s="1"/>
      <c r="AU3" s="1"/>
      <c r="AV3" s="1"/>
      <c r="AW3" s="1"/>
      <c r="AX3" s="1"/>
      <c r="AY3" s="1"/>
    </row>
    <row r="4" spans="1:62" ht="48" customHeight="1" thickBot="1" x14ac:dyDescent="0.25">
      <c r="A4" s="2" t="s">
        <v>5</v>
      </c>
      <c r="B4" s="3" t="s">
        <v>6</v>
      </c>
      <c r="C4" s="2" t="s">
        <v>7</v>
      </c>
      <c r="D4" s="3" t="s">
        <v>6</v>
      </c>
      <c r="E4" s="4" t="s">
        <v>8</v>
      </c>
      <c r="F4" s="4" t="s">
        <v>6</v>
      </c>
      <c r="G4" s="2" t="s">
        <v>9</v>
      </c>
      <c r="H4" s="5" t="s">
        <v>10</v>
      </c>
      <c r="I4" s="5" t="s">
        <v>11</v>
      </c>
      <c r="J4" s="6" t="s">
        <v>12</v>
      </c>
      <c r="K4" s="6" t="s">
        <v>13</v>
      </c>
      <c r="L4" s="2" t="s">
        <v>14</v>
      </c>
      <c r="M4" s="6" t="s">
        <v>15</v>
      </c>
      <c r="N4" s="7" t="s">
        <v>16</v>
      </c>
      <c r="O4" s="7" t="s">
        <v>17</v>
      </c>
      <c r="P4" s="7" t="s">
        <v>18</v>
      </c>
      <c r="Q4" s="7" t="s">
        <v>19</v>
      </c>
      <c r="R4" s="7" t="s">
        <v>18</v>
      </c>
      <c r="S4" s="7" t="s">
        <v>20</v>
      </c>
      <c r="T4" s="7" t="s">
        <v>18</v>
      </c>
      <c r="U4" s="7" t="s">
        <v>21</v>
      </c>
      <c r="V4" s="7" t="s">
        <v>18</v>
      </c>
      <c r="W4" s="7" t="s">
        <v>22</v>
      </c>
      <c r="X4" s="7" t="s">
        <v>18</v>
      </c>
      <c r="Y4" s="7" t="s">
        <v>23</v>
      </c>
      <c r="Z4" s="7" t="s">
        <v>18</v>
      </c>
      <c r="AA4" s="7" t="s">
        <v>24</v>
      </c>
      <c r="AB4" s="7" t="s">
        <v>18</v>
      </c>
      <c r="AC4" s="7" t="s">
        <v>25</v>
      </c>
      <c r="AD4" s="7" t="s">
        <v>18</v>
      </c>
      <c r="AE4" s="7" t="s">
        <v>26</v>
      </c>
      <c r="AF4" s="7" t="s">
        <v>18</v>
      </c>
      <c r="AG4" s="7" t="s">
        <v>27</v>
      </c>
      <c r="AH4" s="7" t="s">
        <v>18</v>
      </c>
      <c r="AI4" s="8" t="s">
        <v>28</v>
      </c>
      <c r="AJ4" s="7" t="s">
        <v>18</v>
      </c>
      <c r="AK4" s="8" t="s">
        <v>29</v>
      </c>
      <c r="AL4" s="7" t="s">
        <v>18</v>
      </c>
      <c r="AM4" s="9" t="s">
        <v>30</v>
      </c>
      <c r="AN4" s="10" t="s">
        <v>31</v>
      </c>
      <c r="AO4" s="11" t="s">
        <v>32</v>
      </c>
      <c r="AP4" s="12" t="s">
        <v>33</v>
      </c>
      <c r="AQ4" s="13" t="s">
        <v>34</v>
      </c>
      <c r="AR4" s="14" t="s">
        <v>35</v>
      </c>
      <c r="AS4" s="337" t="s">
        <v>36</v>
      </c>
      <c r="AT4" s="15" t="s">
        <v>37</v>
      </c>
      <c r="AU4" s="15" t="s">
        <v>38</v>
      </c>
      <c r="AV4" s="16"/>
      <c r="AW4" s="16"/>
      <c r="AX4" s="16"/>
      <c r="AY4" s="16"/>
    </row>
    <row r="5" spans="1:62" ht="186" customHeight="1" x14ac:dyDescent="0.2">
      <c r="A5" s="17" t="s">
        <v>39</v>
      </c>
      <c r="B5" s="18" t="s">
        <v>40</v>
      </c>
      <c r="C5" s="19" t="s">
        <v>41</v>
      </c>
      <c r="D5" s="20" t="s">
        <v>42</v>
      </c>
      <c r="E5" s="20" t="s">
        <v>43</v>
      </c>
      <c r="F5" s="21" t="s">
        <v>44</v>
      </c>
      <c r="G5" s="42" t="s">
        <v>45</v>
      </c>
      <c r="H5" s="42" t="s">
        <v>46</v>
      </c>
      <c r="I5" s="23" t="s">
        <v>47</v>
      </c>
      <c r="J5" s="23" t="s">
        <v>48</v>
      </c>
      <c r="K5" s="23" t="s">
        <v>49</v>
      </c>
      <c r="L5" s="23" t="s">
        <v>50</v>
      </c>
      <c r="M5" s="24" t="s">
        <v>51</v>
      </c>
      <c r="N5" s="24" t="s">
        <v>51</v>
      </c>
      <c r="O5" s="25">
        <f>+'[2]INDICADORES CECO'!$E$14</f>
        <v>0.14979023375084144</v>
      </c>
      <c r="P5" s="42" t="s">
        <v>52</v>
      </c>
      <c r="Q5" s="25">
        <f>+'[2]INDICADORES CECO'!$G$14</f>
        <v>0.11146003729086415</v>
      </c>
      <c r="R5" s="42" t="s">
        <v>53</v>
      </c>
      <c r="S5" s="25">
        <f>+'[2]INDICADORES CECO'!$I$14</f>
        <v>9.4666121457890232E-2</v>
      </c>
      <c r="T5" s="42" t="s">
        <v>54</v>
      </c>
      <c r="U5" s="26">
        <f>+'[3]INDICADORES CECO 2DO TRIM'!$D$33</f>
        <v>0.12160299584429302</v>
      </c>
      <c r="V5" s="305" t="s">
        <v>55</v>
      </c>
      <c r="W5" s="27">
        <f>+'[3]INDICADORES CECO 2DO TRIM'!$F$33</f>
        <v>6.1033318467232332E-2</v>
      </c>
      <c r="X5" s="305" t="s">
        <v>56</v>
      </c>
      <c r="Y5" s="27">
        <f>+'[3]INDICADORES CECO 2DO TRIM'!$H$33</f>
        <v>4.4014603304537804E-2</v>
      </c>
      <c r="Z5" s="283" t="s">
        <v>57</v>
      </c>
      <c r="AA5" s="28"/>
      <c r="AB5" s="289" t="s">
        <v>1231</v>
      </c>
      <c r="AC5" s="28"/>
      <c r="AD5" s="289" t="s">
        <v>1231</v>
      </c>
      <c r="AE5" s="28"/>
      <c r="AF5" s="289" t="s">
        <v>1231</v>
      </c>
      <c r="AG5" s="28"/>
      <c r="AH5" s="289" t="s">
        <v>1231</v>
      </c>
      <c r="AI5" s="28"/>
      <c r="AJ5" s="289" t="s">
        <v>1231</v>
      </c>
      <c r="AK5" s="28"/>
      <c r="AL5" s="289" t="s">
        <v>1231</v>
      </c>
      <c r="AM5" s="24" t="s">
        <v>75</v>
      </c>
      <c r="AN5" s="24" t="s">
        <v>58</v>
      </c>
      <c r="AO5" s="329"/>
      <c r="AP5" s="254"/>
      <c r="AQ5" s="252"/>
      <c r="AR5" s="338" t="s">
        <v>1268</v>
      </c>
      <c r="AS5" s="340" t="str">
        <f t="shared" ref="AS5:AS10" si="0">IF($AK5&gt;=25%,"RESULTADOS FAVORABLES",IF($AK5&lt;12.5%,"ACCIÓN CORRECTIVA",IF($AK5&lt;24%,"OPORTUNIDAD DE MEJORA")))</f>
        <v>ACCIÓN CORRECTIVA</v>
      </c>
      <c r="AT5" s="30">
        <f>AVERAGE(O5,Q5,S5,U5,W5,Y5,AA5,AC5,AE5,AG5,AI5,AK5)</f>
        <v>9.7094551685943165E-2</v>
      </c>
      <c r="AU5" s="30">
        <f t="shared" ref="AU5:AU67" si="1">IFERROR((AVERAGEIF(AX5:BH5,"&gt;0%")),0)</f>
        <v>8.655541527296351E-2</v>
      </c>
      <c r="AV5" s="16"/>
      <c r="AW5" s="31">
        <f>+$O5</f>
        <v>0.14979023375084144</v>
      </c>
      <c r="AX5" s="31">
        <f>+$Q5</f>
        <v>0.11146003729086415</v>
      </c>
      <c r="AY5" s="31">
        <f>+$S5</f>
        <v>9.4666121457890232E-2</v>
      </c>
      <c r="AZ5" s="31">
        <f>+$U5</f>
        <v>0.12160299584429302</v>
      </c>
      <c r="BA5" s="31">
        <f>+$W5</f>
        <v>6.1033318467232332E-2</v>
      </c>
      <c r="BB5" s="31">
        <f>+$Y5</f>
        <v>4.4014603304537804E-2</v>
      </c>
      <c r="BC5" s="31">
        <f>+$AA5</f>
        <v>0</v>
      </c>
      <c r="BD5" s="31">
        <f>+$AC5</f>
        <v>0</v>
      </c>
      <c r="BE5" s="31">
        <f>+$AE5</f>
        <v>0</v>
      </c>
      <c r="BF5" s="31">
        <f>+$AG5</f>
        <v>0</v>
      </c>
      <c r="BG5" s="31">
        <f>+$AI5</f>
        <v>0</v>
      </c>
      <c r="BH5" s="31">
        <f>+$AK5</f>
        <v>0</v>
      </c>
      <c r="BI5" s="16"/>
      <c r="BJ5" s="16"/>
    </row>
    <row r="6" spans="1:62" ht="210" customHeight="1" x14ac:dyDescent="0.2">
      <c r="A6" s="17" t="s">
        <v>39</v>
      </c>
      <c r="B6" s="18"/>
      <c r="C6" s="19" t="s">
        <v>41</v>
      </c>
      <c r="D6" s="20"/>
      <c r="E6" s="20" t="s">
        <v>43</v>
      </c>
      <c r="F6" s="21" t="s">
        <v>59</v>
      </c>
      <c r="G6" s="171" t="s">
        <v>60</v>
      </c>
      <c r="H6" s="42" t="s">
        <v>61</v>
      </c>
      <c r="I6" s="32" t="s">
        <v>62</v>
      </c>
      <c r="J6" s="33" t="s">
        <v>63</v>
      </c>
      <c r="K6" s="34" t="s">
        <v>64</v>
      </c>
      <c r="L6" s="23" t="s">
        <v>50</v>
      </c>
      <c r="M6" s="29" t="s">
        <v>65</v>
      </c>
      <c r="N6" s="29" t="s">
        <v>65</v>
      </c>
      <c r="O6" s="35">
        <v>1</v>
      </c>
      <c r="P6" s="36" t="s">
        <v>66</v>
      </c>
      <c r="Q6" s="35">
        <v>1</v>
      </c>
      <c r="R6" s="36" t="s">
        <v>67</v>
      </c>
      <c r="S6" s="35">
        <v>0.9</v>
      </c>
      <c r="T6" s="36" t="s">
        <v>68</v>
      </c>
      <c r="U6" s="35">
        <f>((3/4))</f>
        <v>0.75</v>
      </c>
      <c r="V6" s="36" t="s">
        <v>69</v>
      </c>
      <c r="W6" s="35">
        <f>((4/4))</f>
        <v>1</v>
      </c>
      <c r="X6" s="37" t="s">
        <v>70</v>
      </c>
      <c r="Y6" s="35">
        <f>((4/4))</f>
        <v>1</v>
      </c>
      <c r="Z6" s="37" t="s">
        <v>71</v>
      </c>
      <c r="AA6" s="47">
        <f>4/5</f>
        <v>0.8</v>
      </c>
      <c r="AB6" s="37" t="s">
        <v>72</v>
      </c>
      <c r="AC6" s="35">
        <v>1</v>
      </c>
      <c r="AD6" s="37" t="s">
        <v>73</v>
      </c>
      <c r="AE6" s="35">
        <v>1</v>
      </c>
      <c r="AF6" s="37" t="s">
        <v>74</v>
      </c>
      <c r="AG6" s="35">
        <v>0.95</v>
      </c>
      <c r="AH6" s="37" t="s">
        <v>1138</v>
      </c>
      <c r="AI6" s="35">
        <v>0.98</v>
      </c>
      <c r="AJ6" s="37" t="s">
        <v>1139</v>
      </c>
      <c r="AK6" s="35">
        <v>1</v>
      </c>
      <c r="AL6" s="37" t="s">
        <v>1140</v>
      </c>
      <c r="AM6" s="24" t="s">
        <v>75</v>
      </c>
      <c r="AN6" s="38">
        <v>1</v>
      </c>
      <c r="AO6" s="254"/>
      <c r="AP6" s="254"/>
      <c r="AQ6" s="265"/>
      <c r="AR6" s="267" t="s">
        <v>1153</v>
      </c>
      <c r="AS6" s="340" t="str">
        <f t="shared" si="0"/>
        <v>RESULTADOS FAVORABLES</v>
      </c>
      <c r="AT6" s="30">
        <f t="shared" ref="AT6:AT68" si="2">AVERAGE(O6,Q6,S6,U6,W6,Y6,AA6,AC6,AE6,AG6,AI6,AK6)</f>
        <v>0.94833333333333325</v>
      </c>
      <c r="AU6" s="30">
        <f t="shared" si="1"/>
        <v>0.94363636363636372</v>
      </c>
      <c r="AV6" s="16"/>
      <c r="AW6" s="31">
        <f t="shared" ref="AW6:AW68" si="3">+$O6</f>
        <v>1</v>
      </c>
      <c r="AX6" s="31">
        <f t="shared" ref="AX6:AX68" si="4">+$Q6</f>
        <v>1</v>
      </c>
      <c r="AY6" s="31">
        <f t="shared" ref="AY6:AY68" si="5">+$S6</f>
        <v>0.9</v>
      </c>
      <c r="AZ6" s="31">
        <f t="shared" ref="AZ6:AZ68" si="6">+$U6</f>
        <v>0.75</v>
      </c>
      <c r="BA6" s="31">
        <f t="shared" ref="BA6:BA68" si="7">+$W6</f>
        <v>1</v>
      </c>
      <c r="BB6" s="31">
        <f t="shared" ref="BB6:BB68" si="8">+$Y6</f>
        <v>1</v>
      </c>
      <c r="BC6" s="31">
        <f t="shared" ref="BC6:BC68" si="9">+$AA6</f>
        <v>0.8</v>
      </c>
      <c r="BD6" s="31">
        <f t="shared" ref="BD6:BD68" si="10">+$AC6</f>
        <v>1</v>
      </c>
      <c r="BE6" s="31">
        <f t="shared" ref="BE6:BE68" si="11">+$AE6</f>
        <v>1</v>
      </c>
      <c r="BF6" s="31">
        <f t="shared" ref="BF6:BF68" si="12">+$AG6</f>
        <v>0.95</v>
      </c>
      <c r="BG6" s="31">
        <f t="shared" ref="BG6:BG68" si="13">+$AI6</f>
        <v>0.98</v>
      </c>
      <c r="BH6" s="31">
        <f t="shared" ref="BH6:BH68" si="14">+$AK6</f>
        <v>1</v>
      </c>
    </row>
    <row r="7" spans="1:62" ht="112.5" customHeight="1" x14ac:dyDescent="0.2">
      <c r="A7" s="17" t="s">
        <v>39</v>
      </c>
      <c r="B7" s="18"/>
      <c r="C7" s="19" t="s">
        <v>41</v>
      </c>
      <c r="D7" s="20"/>
      <c r="E7" s="20" t="s">
        <v>43</v>
      </c>
      <c r="F7" s="21" t="s">
        <v>76</v>
      </c>
      <c r="G7" s="37" t="s">
        <v>77</v>
      </c>
      <c r="H7" s="42" t="s">
        <v>78</v>
      </c>
      <c r="I7" s="32" t="s">
        <v>62</v>
      </c>
      <c r="J7" s="23" t="s">
        <v>79</v>
      </c>
      <c r="K7" s="23" t="s">
        <v>49</v>
      </c>
      <c r="L7" s="33" t="s">
        <v>80</v>
      </c>
      <c r="M7" s="24" t="s">
        <v>81</v>
      </c>
      <c r="N7" s="24" t="s">
        <v>81</v>
      </c>
      <c r="O7" s="38">
        <v>0.71</v>
      </c>
      <c r="P7" s="42" t="s">
        <v>82</v>
      </c>
      <c r="Q7" s="38">
        <v>0.71</v>
      </c>
      <c r="R7" s="42" t="s">
        <v>82</v>
      </c>
      <c r="S7" s="38">
        <v>0.71</v>
      </c>
      <c r="T7" s="42" t="s">
        <v>83</v>
      </c>
      <c r="U7" s="39">
        <v>0.58050000000000002</v>
      </c>
      <c r="V7" s="42" t="s">
        <v>84</v>
      </c>
      <c r="W7" s="40">
        <v>0</v>
      </c>
      <c r="X7" s="104" t="s">
        <v>85</v>
      </c>
      <c r="Y7" s="40">
        <v>0</v>
      </c>
      <c r="Z7" s="37" t="s">
        <v>86</v>
      </c>
      <c r="AA7" s="39">
        <v>0.61419999999999997</v>
      </c>
      <c r="AB7" s="42" t="s">
        <v>87</v>
      </c>
      <c r="AC7" s="23">
        <v>0</v>
      </c>
      <c r="AD7" s="42" t="s">
        <v>85</v>
      </c>
      <c r="AE7" s="43">
        <v>0</v>
      </c>
      <c r="AF7" s="42" t="s">
        <v>88</v>
      </c>
      <c r="AG7" s="39">
        <f>8/10</f>
        <v>0.8</v>
      </c>
      <c r="AH7" s="42" t="s">
        <v>1141</v>
      </c>
      <c r="AI7" s="39">
        <f>9/10</f>
        <v>0.9</v>
      </c>
      <c r="AJ7" s="42" t="s">
        <v>1142</v>
      </c>
      <c r="AK7" s="38">
        <v>1</v>
      </c>
      <c r="AL7" s="42" t="s">
        <v>1143</v>
      </c>
      <c r="AM7" s="24" t="s">
        <v>75</v>
      </c>
      <c r="AN7" s="38">
        <v>1</v>
      </c>
      <c r="AO7" s="254"/>
      <c r="AP7" s="254"/>
      <c r="AQ7" s="266"/>
      <c r="AR7" s="267" t="s">
        <v>1153</v>
      </c>
      <c r="AS7" s="340" t="str">
        <f t="shared" si="0"/>
        <v>RESULTADOS FAVORABLES</v>
      </c>
      <c r="AT7" s="30">
        <f t="shared" si="2"/>
        <v>0.50205833333333338</v>
      </c>
      <c r="AU7" s="30">
        <f t="shared" si="1"/>
        <v>0.75924285714285722</v>
      </c>
      <c r="AV7" s="16"/>
      <c r="AW7" s="31">
        <f t="shared" si="3"/>
        <v>0.71</v>
      </c>
      <c r="AX7" s="31">
        <f t="shared" si="4"/>
        <v>0.71</v>
      </c>
      <c r="AY7" s="31">
        <f t="shared" si="5"/>
        <v>0.71</v>
      </c>
      <c r="AZ7" s="31">
        <f t="shared" si="6"/>
        <v>0.58050000000000002</v>
      </c>
      <c r="BA7" s="31">
        <f t="shared" si="7"/>
        <v>0</v>
      </c>
      <c r="BB7" s="31">
        <f t="shared" si="8"/>
        <v>0</v>
      </c>
      <c r="BC7" s="31">
        <f t="shared" si="9"/>
        <v>0.61419999999999997</v>
      </c>
      <c r="BD7" s="31">
        <f t="shared" si="10"/>
        <v>0</v>
      </c>
      <c r="BE7" s="31">
        <f t="shared" si="11"/>
        <v>0</v>
      </c>
      <c r="BF7" s="31">
        <f t="shared" si="12"/>
        <v>0.8</v>
      </c>
      <c r="BG7" s="31">
        <f t="shared" si="13"/>
        <v>0.9</v>
      </c>
      <c r="BH7" s="31">
        <f t="shared" si="14"/>
        <v>1</v>
      </c>
    </row>
    <row r="8" spans="1:62" ht="196.5" customHeight="1" x14ac:dyDescent="0.2">
      <c r="A8" s="17" t="s">
        <v>39</v>
      </c>
      <c r="B8" s="18"/>
      <c r="C8" s="19" t="s">
        <v>41</v>
      </c>
      <c r="D8" s="20" t="s">
        <v>89</v>
      </c>
      <c r="E8" s="20" t="s">
        <v>90</v>
      </c>
      <c r="F8" s="21" t="s">
        <v>91</v>
      </c>
      <c r="G8" s="37" t="s">
        <v>92</v>
      </c>
      <c r="H8" s="42" t="s">
        <v>93</v>
      </c>
      <c r="I8" s="32" t="s">
        <v>62</v>
      </c>
      <c r="J8" s="23" t="s">
        <v>94</v>
      </c>
      <c r="K8" s="23" t="s">
        <v>49</v>
      </c>
      <c r="L8" s="33" t="s">
        <v>50</v>
      </c>
      <c r="M8" s="23" t="s">
        <v>51</v>
      </c>
      <c r="N8" s="24" t="s">
        <v>81</v>
      </c>
      <c r="O8" s="38">
        <v>0.93</v>
      </c>
      <c r="P8" s="42" t="s">
        <v>95</v>
      </c>
      <c r="Q8" s="38">
        <v>0.93</v>
      </c>
      <c r="R8" s="42" t="s">
        <v>96</v>
      </c>
      <c r="S8" s="38">
        <v>0.93</v>
      </c>
      <c r="T8" s="42" t="s">
        <v>97</v>
      </c>
      <c r="U8" s="43">
        <v>0</v>
      </c>
      <c r="V8" s="42" t="s">
        <v>96</v>
      </c>
      <c r="W8" s="40">
        <v>0</v>
      </c>
      <c r="X8" s="42" t="s">
        <v>96</v>
      </c>
      <c r="Y8" s="44">
        <v>0.98</v>
      </c>
      <c r="Z8" s="37" t="s">
        <v>98</v>
      </c>
      <c r="AA8" s="43">
        <f>98%</f>
        <v>0.98</v>
      </c>
      <c r="AB8" s="42" t="s">
        <v>99</v>
      </c>
      <c r="AC8" s="58">
        <v>0</v>
      </c>
      <c r="AD8" s="42" t="s">
        <v>100</v>
      </c>
      <c r="AE8" s="58">
        <v>0</v>
      </c>
      <c r="AF8" s="42" t="s">
        <v>101</v>
      </c>
      <c r="AG8" s="22" t="s">
        <v>1144</v>
      </c>
      <c r="AH8" s="46">
        <v>0.99</v>
      </c>
      <c r="AI8" s="23" t="s">
        <v>85</v>
      </c>
      <c r="AJ8" s="42" t="s">
        <v>1145</v>
      </c>
      <c r="AK8" s="130">
        <v>1</v>
      </c>
      <c r="AL8" s="42" t="s">
        <v>1146</v>
      </c>
      <c r="AM8" s="24" t="s">
        <v>75</v>
      </c>
      <c r="AN8" s="38">
        <v>1</v>
      </c>
      <c r="AO8" s="254"/>
      <c r="AP8" s="254"/>
      <c r="AQ8" s="266"/>
      <c r="AR8" s="267" t="s">
        <v>1153</v>
      </c>
      <c r="AS8" s="340" t="str">
        <f t="shared" si="0"/>
        <v>RESULTADOS FAVORABLES</v>
      </c>
      <c r="AT8" s="30">
        <f t="shared" si="2"/>
        <v>0.57499999999999996</v>
      </c>
      <c r="AU8" s="30">
        <f t="shared" si="1"/>
        <v>0.96400000000000008</v>
      </c>
      <c r="AV8" s="16"/>
      <c r="AW8" s="31">
        <f t="shared" si="3"/>
        <v>0.93</v>
      </c>
      <c r="AX8" s="31">
        <f t="shared" si="4"/>
        <v>0.93</v>
      </c>
      <c r="AY8" s="31">
        <f t="shared" si="5"/>
        <v>0.93</v>
      </c>
      <c r="AZ8" s="31">
        <f t="shared" si="6"/>
        <v>0</v>
      </c>
      <c r="BA8" s="31">
        <f t="shared" si="7"/>
        <v>0</v>
      </c>
      <c r="BB8" s="31">
        <f t="shared" si="8"/>
        <v>0.98</v>
      </c>
      <c r="BC8" s="31">
        <f t="shared" si="9"/>
        <v>0.98</v>
      </c>
      <c r="BD8" s="31">
        <f t="shared" si="10"/>
        <v>0</v>
      </c>
      <c r="BE8" s="31">
        <f t="shared" si="11"/>
        <v>0</v>
      </c>
      <c r="BF8" s="31" t="str">
        <f t="shared" si="12"/>
        <v>El proyecto de automatización denominado: "Diseñar, suministrar, instalar y poner en marcha el sistema de control e instrumentación para la optimización y actualización tecnológica de la planta de producción de la Empresa de Licores de Cundinamarca” registra un avance del 99%  a 30 de septiembre de 2018, solo están pendientes pequeños ajustes para su finalización.</v>
      </c>
      <c r="BG8" s="31" t="str">
        <f t="shared" si="13"/>
        <v>NA</v>
      </c>
      <c r="BH8" s="31">
        <f t="shared" si="14"/>
        <v>1</v>
      </c>
    </row>
    <row r="9" spans="1:62" ht="204.75" customHeight="1" x14ac:dyDescent="0.2">
      <c r="A9" s="17" t="s">
        <v>39</v>
      </c>
      <c r="B9" s="45" t="s">
        <v>102</v>
      </c>
      <c r="C9" s="19" t="s">
        <v>103</v>
      </c>
      <c r="D9" s="20" t="s">
        <v>104</v>
      </c>
      <c r="E9" s="20" t="s">
        <v>105</v>
      </c>
      <c r="F9" s="21" t="s">
        <v>106</v>
      </c>
      <c r="G9" s="171" t="s">
        <v>107</v>
      </c>
      <c r="H9" s="42" t="s">
        <v>108</v>
      </c>
      <c r="I9" s="32" t="s">
        <v>62</v>
      </c>
      <c r="J9" s="23" t="s">
        <v>109</v>
      </c>
      <c r="K9" s="32" t="s">
        <v>49</v>
      </c>
      <c r="L9" s="33" t="s">
        <v>50</v>
      </c>
      <c r="M9" s="24" t="s">
        <v>51</v>
      </c>
      <c r="N9" s="24" t="s">
        <v>51</v>
      </c>
      <c r="O9" s="35">
        <f xml:space="preserve"> 14/61</f>
        <v>0.22950819672131148</v>
      </c>
      <c r="P9" s="301" t="s">
        <v>110</v>
      </c>
      <c r="Q9" s="35">
        <f xml:space="preserve"> 3/13</f>
        <v>0.23076923076923078</v>
      </c>
      <c r="R9" s="46" t="s">
        <v>111</v>
      </c>
      <c r="S9" s="35">
        <f xml:space="preserve"> 8 / 9</f>
        <v>0.88888888888888884</v>
      </c>
      <c r="T9" s="301" t="s">
        <v>112</v>
      </c>
      <c r="U9" s="47">
        <f xml:space="preserve"> 8/8</f>
        <v>1</v>
      </c>
      <c r="V9" s="37" t="s">
        <v>113</v>
      </c>
      <c r="W9" s="47">
        <f xml:space="preserve"> 2/2</f>
        <v>1</v>
      </c>
      <c r="X9" s="37" t="s">
        <v>114</v>
      </c>
      <c r="Y9" s="47">
        <f xml:space="preserve"> 11/11</f>
        <v>1</v>
      </c>
      <c r="Z9" s="37" t="s">
        <v>115</v>
      </c>
      <c r="AA9" s="48" t="s">
        <v>116</v>
      </c>
      <c r="AB9" s="127" t="s">
        <v>117</v>
      </c>
      <c r="AC9" s="48" t="s">
        <v>118</v>
      </c>
      <c r="AD9" s="127" t="s">
        <v>119</v>
      </c>
      <c r="AE9" s="48" t="s">
        <v>120</v>
      </c>
      <c r="AF9" s="300" t="s">
        <v>121</v>
      </c>
      <c r="AG9" s="262">
        <f>13/13</f>
        <v>1</v>
      </c>
      <c r="AH9" s="109" t="s">
        <v>1147</v>
      </c>
      <c r="AI9" s="262">
        <f>17/17</f>
        <v>1</v>
      </c>
      <c r="AJ9" s="109" t="s">
        <v>1147</v>
      </c>
      <c r="AK9" s="262">
        <f>12/12</f>
        <v>1</v>
      </c>
      <c r="AL9" s="29" t="s">
        <v>1273</v>
      </c>
      <c r="AM9" s="29" t="s">
        <v>75</v>
      </c>
      <c r="AN9" s="38">
        <v>1</v>
      </c>
      <c r="AO9" s="254"/>
      <c r="AP9" s="254"/>
      <c r="AQ9" s="265"/>
      <c r="AR9" s="267" t="s">
        <v>1153</v>
      </c>
      <c r="AS9" s="340" t="str">
        <f t="shared" si="0"/>
        <v>RESULTADOS FAVORABLES</v>
      </c>
      <c r="AT9" s="30">
        <f t="shared" si="2"/>
        <v>0.81657403515327021</v>
      </c>
      <c r="AU9" s="30">
        <f t="shared" si="1"/>
        <v>0.8899572649572649</v>
      </c>
      <c r="AV9" s="16"/>
      <c r="AW9" s="31">
        <f t="shared" si="3"/>
        <v>0.22950819672131148</v>
      </c>
      <c r="AX9" s="31">
        <f t="shared" si="4"/>
        <v>0.23076923076923078</v>
      </c>
      <c r="AY9" s="31">
        <f t="shared" si="5"/>
        <v>0.88888888888888884</v>
      </c>
      <c r="AZ9" s="31">
        <f t="shared" si="6"/>
        <v>1</v>
      </c>
      <c r="BA9" s="31">
        <f t="shared" si="7"/>
        <v>1</v>
      </c>
      <c r="BB9" s="31">
        <f t="shared" si="8"/>
        <v>1</v>
      </c>
      <c r="BC9" s="31" t="str">
        <f t="shared" si="9"/>
        <v xml:space="preserve"> Actualización de documentos del SIG = 37/37 = 100%
</v>
      </c>
      <c r="BD9" s="31" t="str">
        <f t="shared" si="10"/>
        <v xml:space="preserve"> Actualización de Documentos del SIG = 94/94 = 100%
</v>
      </c>
      <c r="BE9" s="31" t="str">
        <f t="shared" si="11"/>
        <v xml:space="preserve"> Actualización de Documentos del SIG = 48/48 = 100%
</v>
      </c>
      <c r="BF9" s="31">
        <f t="shared" si="12"/>
        <v>1</v>
      </c>
      <c r="BG9" s="31">
        <f t="shared" si="13"/>
        <v>1</v>
      </c>
      <c r="BH9" s="31">
        <f t="shared" si="14"/>
        <v>1</v>
      </c>
    </row>
    <row r="10" spans="1:62" ht="409.6" customHeight="1" x14ac:dyDescent="0.2">
      <c r="A10" s="17" t="s">
        <v>39</v>
      </c>
      <c r="B10" s="45"/>
      <c r="C10" s="19" t="s">
        <v>103</v>
      </c>
      <c r="D10" s="20"/>
      <c r="E10" s="20" t="s">
        <v>105</v>
      </c>
      <c r="F10" s="21" t="s">
        <v>122</v>
      </c>
      <c r="G10" s="171" t="s">
        <v>123</v>
      </c>
      <c r="H10" s="42" t="s">
        <v>124</v>
      </c>
      <c r="I10" s="32" t="s">
        <v>62</v>
      </c>
      <c r="J10" s="23" t="s">
        <v>125</v>
      </c>
      <c r="K10" s="32" t="s">
        <v>49</v>
      </c>
      <c r="L10" s="23" t="s">
        <v>50</v>
      </c>
      <c r="M10" s="24" t="s">
        <v>51</v>
      </c>
      <c r="N10" s="24" t="s">
        <v>51</v>
      </c>
      <c r="O10" s="35">
        <f>22/22</f>
        <v>1</v>
      </c>
      <c r="P10" s="46" t="s">
        <v>126</v>
      </c>
      <c r="Q10" s="35">
        <v>1</v>
      </c>
      <c r="R10" s="46" t="s">
        <v>127</v>
      </c>
      <c r="S10" s="35">
        <v>1</v>
      </c>
      <c r="T10" s="46" t="s">
        <v>128</v>
      </c>
      <c r="U10" s="35">
        <v>1</v>
      </c>
      <c r="V10" s="46" t="s">
        <v>129</v>
      </c>
      <c r="W10" s="35">
        <v>1</v>
      </c>
      <c r="X10" s="46" t="s">
        <v>130</v>
      </c>
      <c r="Y10" s="35">
        <v>1</v>
      </c>
      <c r="Z10" s="46" t="s">
        <v>131</v>
      </c>
      <c r="AA10" s="48">
        <f xml:space="preserve"> 21/21</f>
        <v>1</v>
      </c>
      <c r="AB10" s="127" t="s">
        <v>132</v>
      </c>
      <c r="AC10" s="48">
        <f xml:space="preserve"> 21/21</f>
        <v>1</v>
      </c>
      <c r="AD10" s="127" t="s">
        <v>133</v>
      </c>
      <c r="AE10" s="48">
        <f xml:space="preserve"> 18/18</f>
        <v>1</v>
      </c>
      <c r="AF10" s="127" t="s">
        <v>134</v>
      </c>
      <c r="AG10" s="263">
        <f>11/11</f>
        <v>1</v>
      </c>
      <c r="AH10" s="109" t="s">
        <v>1148</v>
      </c>
      <c r="AI10" s="263">
        <f>6/6</f>
        <v>1</v>
      </c>
      <c r="AJ10" s="109" t="s">
        <v>1149</v>
      </c>
      <c r="AK10" s="263">
        <f>1/1</f>
        <v>1</v>
      </c>
      <c r="AL10" s="29" t="s">
        <v>1264</v>
      </c>
      <c r="AM10" s="29" t="s">
        <v>1152</v>
      </c>
      <c r="AN10" s="40">
        <v>1</v>
      </c>
      <c r="AO10" s="254"/>
      <c r="AP10" s="254"/>
      <c r="AQ10" s="265"/>
      <c r="AR10" s="267" t="s">
        <v>1153</v>
      </c>
      <c r="AS10" s="340" t="str">
        <f t="shared" si="0"/>
        <v>RESULTADOS FAVORABLES</v>
      </c>
      <c r="AT10" s="30">
        <f t="shared" si="2"/>
        <v>1</v>
      </c>
      <c r="AU10" s="30">
        <f t="shared" si="1"/>
        <v>1</v>
      </c>
      <c r="AV10" s="16"/>
      <c r="AW10" s="31">
        <f t="shared" si="3"/>
        <v>1</v>
      </c>
      <c r="AX10" s="31">
        <f t="shared" si="4"/>
        <v>1</v>
      </c>
      <c r="AY10" s="31">
        <f t="shared" si="5"/>
        <v>1</v>
      </c>
      <c r="AZ10" s="31">
        <f t="shared" si="6"/>
        <v>1</v>
      </c>
      <c r="BA10" s="31">
        <f t="shared" si="7"/>
        <v>1</v>
      </c>
      <c r="BB10" s="31">
        <f t="shared" si="8"/>
        <v>1</v>
      </c>
      <c r="BC10" s="31">
        <f t="shared" si="9"/>
        <v>1</v>
      </c>
      <c r="BD10" s="31">
        <f t="shared" si="10"/>
        <v>1</v>
      </c>
      <c r="BE10" s="31">
        <f t="shared" si="11"/>
        <v>1</v>
      </c>
      <c r="BF10" s="31">
        <f t="shared" si="12"/>
        <v>1</v>
      </c>
      <c r="BG10" s="31">
        <f t="shared" si="13"/>
        <v>1</v>
      </c>
      <c r="BH10" s="31">
        <f t="shared" si="14"/>
        <v>1</v>
      </c>
    </row>
    <row r="11" spans="1:62" ht="211.5" customHeight="1" x14ac:dyDescent="0.2">
      <c r="A11" s="17" t="s">
        <v>39</v>
      </c>
      <c r="B11" s="275"/>
      <c r="C11" s="19" t="s">
        <v>103</v>
      </c>
      <c r="D11" s="49" t="s">
        <v>135</v>
      </c>
      <c r="E11" s="288" t="s">
        <v>136</v>
      </c>
      <c r="F11" s="50" t="s">
        <v>137</v>
      </c>
      <c r="G11" s="288" t="s">
        <v>138</v>
      </c>
      <c r="H11" s="299" t="s">
        <v>1136</v>
      </c>
      <c r="I11" s="51" t="s">
        <v>47</v>
      </c>
      <c r="J11" s="52" t="s">
        <v>1137</v>
      </c>
      <c r="K11" s="51" t="s">
        <v>49</v>
      </c>
      <c r="L11" s="52" t="s">
        <v>50</v>
      </c>
      <c r="M11" s="53" t="s">
        <v>51</v>
      </c>
      <c r="N11" s="53" t="s">
        <v>51</v>
      </c>
      <c r="O11" s="53"/>
      <c r="P11" s="288"/>
      <c r="Q11" s="284"/>
      <c r="R11" s="285"/>
      <c r="S11" s="53"/>
      <c r="T11" s="288"/>
      <c r="U11" s="35">
        <f xml:space="preserve"> 3/16</f>
        <v>0.1875</v>
      </c>
      <c r="V11" s="37" t="s">
        <v>139</v>
      </c>
      <c r="W11" s="35">
        <f xml:space="preserve"> 6/16</f>
        <v>0.375</v>
      </c>
      <c r="X11" s="37" t="s">
        <v>140</v>
      </c>
      <c r="Y11" s="35">
        <f xml:space="preserve"> 15/16</f>
        <v>0.9375</v>
      </c>
      <c r="Z11" s="37" t="s">
        <v>141</v>
      </c>
      <c r="AA11" s="48" t="s">
        <v>142</v>
      </c>
      <c r="AB11" s="127" t="s">
        <v>143</v>
      </c>
      <c r="AC11" s="48" t="s">
        <v>144</v>
      </c>
      <c r="AD11" s="127" t="s">
        <v>145</v>
      </c>
      <c r="AE11" s="48"/>
      <c r="AF11" s="312"/>
      <c r="AG11" s="262">
        <f>3/16</f>
        <v>0.1875</v>
      </c>
      <c r="AH11" s="109" t="s">
        <v>1150</v>
      </c>
      <c r="AI11" s="262">
        <f>5/16</f>
        <v>0.3125</v>
      </c>
      <c r="AJ11" s="109" t="s">
        <v>1151</v>
      </c>
      <c r="AK11" s="262">
        <f>0/16</f>
        <v>0</v>
      </c>
      <c r="AL11" s="29" t="s">
        <v>1274</v>
      </c>
      <c r="AM11" s="24" t="s">
        <v>259</v>
      </c>
      <c r="AN11" s="40">
        <v>1</v>
      </c>
      <c r="AO11" s="329"/>
      <c r="AP11" s="254"/>
      <c r="AQ11" s="254"/>
      <c r="AR11" s="264" t="s">
        <v>1265</v>
      </c>
      <c r="AS11" s="340" t="str">
        <f t="shared" ref="AS11" si="15">IF($AK11&gt;=25%,"RESULTADOS FAVORABLES",IF($AK11&lt;12.5%,"ACCIÓN CORRECTIVA",IF($AK11&lt;24%,"OPORTUNIDAD DE MEJORA")))</f>
        <v>ACCIÓN CORRECTIVA</v>
      </c>
      <c r="AT11" s="30">
        <f t="shared" si="2"/>
        <v>0.33333333333333331</v>
      </c>
      <c r="AU11" s="30">
        <f t="shared" si="1"/>
        <v>0.4</v>
      </c>
      <c r="AV11" s="16"/>
      <c r="AW11" s="31">
        <f t="shared" si="3"/>
        <v>0</v>
      </c>
      <c r="AX11" s="31">
        <f t="shared" si="4"/>
        <v>0</v>
      </c>
      <c r="AY11" s="31">
        <f t="shared" si="5"/>
        <v>0</v>
      </c>
      <c r="AZ11" s="31">
        <f t="shared" si="6"/>
        <v>0.1875</v>
      </c>
      <c r="BA11" s="31">
        <f t="shared" si="7"/>
        <v>0.375</v>
      </c>
      <c r="BB11" s="31">
        <f t="shared" si="8"/>
        <v>0.9375</v>
      </c>
      <c r="BC11" s="31" t="str">
        <f t="shared" si="9"/>
        <v>Riesgos reportados=16 / 16 =100%
Reportes solicitados=  16 / 16 = 100%</v>
      </c>
      <c r="BD11" s="31" t="str">
        <f t="shared" si="10"/>
        <v xml:space="preserve"> Riesgos Reportados = 16/16 = 100%</v>
      </c>
      <c r="BE11" s="31">
        <f t="shared" si="11"/>
        <v>0</v>
      </c>
      <c r="BF11" s="31">
        <f t="shared" si="12"/>
        <v>0.1875</v>
      </c>
      <c r="BG11" s="31">
        <f t="shared" si="13"/>
        <v>0.3125</v>
      </c>
      <c r="BH11" s="31">
        <f t="shared" si="14"/>
        <v>0</v>
      </c>
    </row>
    <row r="12" spans="1:62" s="319" customFormat="1" ht="154.5" customHeight="1" x14ac:dyDescent="0.2">
      <c r="A12" s="54" t="s">
        <v>146</v>
      </c>
      <c r="B12" s="400" t="s">
        <v>147</v>
      </c>
      <c r="C12" s="55" t="s">
        <v>148</v>
      </c>
      <c r="D12" s="20" t="s">
        <v>149</v>
      </c>
      <c r="E12" s="20" t="s">
        <v>150</v>
      </c>
      <c r="F12" s="21" t="s">
        <v>151</v>
      </c>
      <c r="G12" s="42" t="s">
        <v>152</v>
      </c>
      <c r="H12" s="42" t="s">
        <v>153</v>
      </c>
      <c r="I12" s="23" t="s">
        <v>47</v>
      </c>
      <c r="J12" s="23" t="s">
        <v>154</v>
      </c>
      <c r="K12" s="23" t="s">
        <v>155</v>
      </c>
      <c r="L12" s="23" t="s">
        <v>156</v>
      </c>
      <c r="M12" s="23" t="s">
        <v>51</v>
      </c>
      <c r="N12" s="23" t="s">
        <v>51</v>
      </c>
      <c r="O12" s="279">
        <v>0</v>
      </c>
      <c r="P12" s="42" t="s">
        <v>157</v>
      </c>
      <c r="Q12" s="56">
        <f>((349*20%)/192)</f>
        <v>0.36354166666666665</v>
      </c>
      <c r="R12" s="42" t="s">
        <v>158</v>
      </c>
      <c r="S12" s="56">
        <f>((517*20%)/220)</f>
        <v>0.47000000000000003</v>
      </c>
      <c r="T12" s="42" t="s">
        <v>159</v>
      </c>
      <c r="U12" s="279">
        <f>((3685902)/(20*33*8.5))</f>
        <v>657.02352941176468</v>
      </c>
      <c r="V12" s="42" t="s">
        <v>160</v>
      </c>
      <c r="W12" s="279">
        <f>((3204330)/(21*33*8.5))</f>
        <v>543.98268398268397</v>
      </c>
      <c r="X12" s="42" t="s">
        <v>161</v>
      </c>
      <c r="Y12" s="279">
        <f>((1404696)/(21*33*8.5))</f>
        <v>238.4680417621594</v>
      </c>
      <c r="Z12" s="42" t="s">
        <v>162</v>
      </c>
      <c r="AA12" s="279">
        <f>((2034478)/(21*33*8.5))</f>
        <v>345.38290467702234</v>
      </c>
      <c r="AB12" s="42" t="s">
        <v>163</v>
      </c>
      <c r="AC12" s="279">
        <f>((2328378)/(20*33*8.5))</f>
        <v>415.04064171122997</v>
      </c>
      <c r="AD12" s="42" t="s">
        <v>164</v>
      </c>
      <c r="AE12" s="279">
        <f>((1248084)/(20*33*8.5))</f>
        <v>222.47486631016042</v>
      </c>
      <c r="AF12" s="42" t="s">
        <v>165</v>
      </c>
      <c r="AG12" s="279">
        <f>((1658568)/(22*33*8.5))</f>
        <v>268.76810889645117</v>
      </c>
      <c r="AH12" s="42" t="s">
        <v>1154</v>
      </c>
      <c r="AI12" s="279">
        <f>((2996682)/(20*30*8.5))</f>
        <v>587.58470588235298</v>
      </c>
      <c r="AJ12" s="42" t="s">
        <v>1155</v>
      </c>
      <c r="AK12" s="279">
        <f>((1576962)/(14*20*8.5))</f>
        <v>662.58907563025207</v>
      </c>
      <c r="AL12" s="42" t="s">
        <v>1156</v>
      </c>
      <c r="AM12" s="38">
        <v>0</v>
      </c>
      <c r="AN12" s="23" t="s">
        <v>166</v>
      </c>
      <c r="AO12" s="254"/>
      <c r="AP12" s="254"/>
      <c r="AQ12" s="268"/>
      <c r="AR12" s="267" t="s">
        <v>1153</v>
      </c>
      <c r="AS12" s="342" t="str">
        <f>IF($AK12&gt;=$AI12,"RESULTADOS FAVORABLES",IF($AK12&lt;$AI12,"ACCIÓN CORRECTIVA"))</f>
        <v>RESULTADOS FAVORABLES</v>
      </c>
      <c r="AT12" s="30">
        <f>AVERAGE(O12,Q12,S12,U12,W12,Y12,AA12,AC12,AE12,AG12,AI12,AK12)</f>
        <v>328.51234166089529</v>
      </c>
      <c r="AU12" s="30">
        <f t="shared" si="1"/>
        <v>358.37709999370395</v>
      </c>
      <c r="AV12" s="57"/>
      <c r="AW12" s="31">
        <f t="shared" si="3"/>
        <v>0</v>
      </c>
      <c r="AX12" s="31">
        <f t="shared" si="4"/>
        <v>0.36354166666666665</v>
      </c>
      <c r="AY12" s="31">
        <f t="shared" si="5"/>
        <v>0.47000000000000003</v>
      </c>
      <c r="AZ12" s="31">
        <f t="shared" si="6"/>
        <v>657.02352941176468</v>
      </c>
      <c r="BA12" s="31">
        <f t="shared" si="7"/>
        <v>543.98268398268397</v>
      </c>
      <c r="BB12" s="31">
        <f t="shared" si="8"/>
        <v>238.4680417621594</v>
      </c>
      <c r="BC12" s="31">
        <f t="shared" si="9"/>
        <v>345.38290467702234</v>
      </c>
      <c r="BD12" s="31">
        <f t="shared" si="10"/>
        <v>415.04064171122997</v>
      </c>
      <c r="BE12" s="31">
        <f t="shared" si="11"/>
        <v>222.47486631016042</v>
      </c>
      <c r="BF12" s="31">
        <f t="shared" si="12"/>
        <v>268.76810889645117</v>
      </c>
      <c r="BG12" s="31">
        <f t="shared" si="13"/>
        <v>587.58470588235298</v>
      </c>
      <c r="BH12" s="31">
        <f t="shared" si="14"/>
        <v>662.58907563025207</v>
      </c>
    </row>
    <row r="13" spans="1:62" s="319" customFormat="1" ht="204.75" customHeight="1" x14ac:dyDescent="0.2">
      <c r="A13" s="54" t="s">
        <v>146</v>
      </c>
      <c r="B13" s="401"/>
      <c r="C13" s="55" t="s">
        <v>148</v>
      </c>
      <c r="D13" s="20" t="s">
        <v>167</v>
      </c>
      <c r="E13" s="20" t="s">
        <v>168</v>
      </c>
      <c r="F13" s="21" t="s">
        <v>169</v>
      </c>
      <c r="G13" s="42" t="s">
        <v>170</v>
      </c>
      <c r="H13" s="42" t="s">
        <v>171</v>
      </c>
      <c r="I13" s="23" t="s">
        <v>47</v>
      </c>
      <c r="J13" s="23" t="s">
        <v>172</v>
      </c>
      <c r="K13" s="23" t="s">
        <v>49</v>
      </c>
      <c r="L13" s="23" t="s">
        <v>156</v>
      </c>
      <c r="M13" s="23" t="s">
        <v>51</v>
      </c>
      <c r="N13" s="23" t="s">
        <v>51</v>
      </c>
      <c r="O13" s="58">
        <v>0.38</v>
      </c>
      <c r="P13" s="42" t="s">
        <v>173</v>
      </c>
      <c r="Q13" s="58">
        <v>0.24</v>
      </c>
      <c r="R13" s="42" t="s">
        <v>174</v>
      </c>
      <c r="S13" s="58">
        <v>0.23</v>
      </c>
      <c r="T13" s="42" t="s">
        <v>175</v>
      </c>
      <c r="U13" s="280">
        <v>0.2074074074074074</v>
      </c>
      <c r="V13" s="42" t="s">
        <v>176</v>
      </c>
      <c r="W13" s="281">
        <f>135/683</f>
        <v>0.19765739385065886</v>
      </c>
      <c r="X13" s="42" t="s">
        <v>177</v>
      </c>
      <c r="Y13" s="56">
        <f>153/558</f>
        <v>0.27419354838709675</v>
      </c>
      <c r="Z13" s="42" t="s">
        <v>178</v>
      </c>
      <c r="AA13" s="56">
        <f>155/517</f>
        <v>0.29980657640232106</v>
      </c>
      <c r="AB13" s="42" t="s">
        <v>179</v>
      </c>
      <c r="AC13" s="56">
        <f>103/517</f>
        <v>0.19922630560928434</v>
      </c>
      <c r="AD13" s="42" t="s">
        <v>180</v>
      </c>
      <c r="AE13" s="56">
        <f>114/342</f>
        <v>0.33333333333333331</v>
      </c>
      <c r="AF13" s="42" t="s">
        <v>181</v>
      </c>
      <c r="AG13" s="282">
        <f>98/358</f>
        <v>0.27374301675977653</v>
      </c>
      <c r="AH13" s="42" t="s">
        <v>1157</v>
      </c>
      <c r="AI13" s="282">
        <f>124/633</f>
        <v>0.19589257503949448</v>
      </c>
      <c r="AJ13" s="42" t="s">
        <v>1158</v>
      </c>
      <c r="AK13" s="282">
        <f>66/325</f>
        <v>0.20307692307692307</v>
      </c>
      <c r="AL13" s="42" t="s">
        <v>1159</v>
      </c>
      <c r="AM13" s="38">
        <v>0</v>
      </c>
      <c r="AN13" s="29" t="s">
        <v>1266</v>
      </c>
      <c r="AO13" s="329"/>
      <c r="AP13" s="254"/>
      <c r="AQ13" s="29"/>
      <c r="AR13" s="267" t="s">
        <v>1178</v>
      </c>
      <c r="AS13" s="340" t="str">
        <f>IF($AK13&lt;=15%,"RESULTADOS FAVORABLES",IF($AK13&gt;=18%,"ACCIÓN CORRECTIVA",IF($AK13&gt;=16%,"OPORTUNIDAD DE MEJORA")))</f>
        <v>ACCIÓN CORRECTIVA</v>
      </c>
      <c r="AT13" s="30">
        <f>AVERAGE(O13,Q13,S13,U13,W13,Y13,AA13,AC13,AE13,AG13,AI13,AK13)</f>
        <v>0.2528614233221913</v>
      </c>
      <c r="AU13" s="30">
        <f t="shared" si="1"/>
        <v>0.22854250297523881</v>
      </c>
      <c r="AV13" s="57"/>
      <c r="AW13" s="31">
        <f t="shared" si="3"/>
        <v>0.38</v>
      </c>
      <c r="AX13" s="31">
        <f t="shared" si="4"/>
        <v>0.24</v>
      </c>
      <c r="AY13" s="31">
        <f t="shared" si="5"/>
        <v>0.23</v>
      </c>
      <c r="AZ13" s="31" t="e">
        <f>+#REF!</f>
        <v>#REF!</v>
      </c>
      <c r="BA13" s="31" t="e">
        <f>+#REF!</f>
        <v>#REF!</v>
      </c>
      <c r="BB13" s="31" t="e">
        <f>+#REF!</f>
        <v>#REF!</v>
      </c>
      <c r="BC13" s="31" t="e">
        <f>+#REF!</f>
        <v>#REF!</v>
      </c>
      <c r="BD13" s="31" t="e">
        <f>+#REF!</f>
        <v>#REF!</v>
      </c>
      <c r="BE13" s="31" t="e">
        <f>+#REF!</f>
        <v>#REF!</v>
      </c>
      <c r="BF13" s="31">
        <f t="shared" si="12"/>
        <v>0.27374301675977653</v>
      </c>
      <c r="BG13" s="31">
        <f t="shared" si="13"/>
        <v>0.19589257503949448</v>
      </c>
      <c r="BH13" s="31">
        <f t="shared" si="14"/>
        <v>0.20307692307692307</v>
      </c>
    </row>
    <row r="14" spans="1:62" s="319" customFormat="1" ht="302.25" customHeight="1" x14ac:dyDescent="0.2">
      <c r="A14" s="54" t="s">
        <v>146</v>
      </c>
      <c r="B14" s="401"/>
      <c r="C14" s="55" t="s">
        <v>148</v>
      </c>
      <c r="D14" s="20"/>
      <c r="E14" s="20" t="s">
        <v>168</v>
      </c>
      <c r="F14" s="21" t="s">
        <v>182</v>
      </c>
      <c r="G14" s="42" t="s">
        <v>183</v>
      </c>
      <c r="H14" s="42" t="s">
        <v>184</v>
      </c>
      <c r="I14" s="23" t="s">
        <v>47</v>
      </c>
      <c r="J14" s="23" t="s">
        <v>185</v>
      </c>
      <c r="K14" s="23" t="s">
        <v>49</v>
      </c>
      <c r="L14" s="23" t="s">
        <v>156</v>
      </c>
      <c r="M14" s="23" t="s">
        <v>51</v>
      </c>
      <c r="N14" s="23" t="s">
        <v>51</v>
      </c>
      <c r="O14" s="140">
        <v>7.4999999999999997E-3</v>
      </c>
      <c r="P14" s="42" t="s">
        <v>186</v>
      </c>
      <c r="Q14" s="320">
        <v>2E-3</v>
      </c>
      <c r="R14" s="42" t="s">
        <v>187</v>
      </c>
      <c r="S14" s="320">
        <v>1.6999999999999999E-3</v>
      </c>
      <c r="T14" s="42" t="s">
        <v>188</v>
      </c>
      <c r="U14" s="320">
        <v>1.9E-3</v>
      </c>
      <c r="V14" s="42" t="s">
        <v>189</v>
      </c>
      <c r="W14" s="320">
        <v>2.3999999999999998E-3</v>
      </c>
      <c r="X14" s="42" t="s">
        <v>190</v>
      </c>
      <c r="Y14" s="56">
        <v>2.5000000000000001E-3</v>
      </c>
      <c r="Z14" s="42" t="s">
        <v>191</v>
      </c>
      <c r="AA14" s="56">
        <v>2.8E-3</v>
      </c>
      <c r="AB14" s="42" t="s">
        <v>192</v>
      </c>
      <c r="AC14" s="56">
        <v>1.6999999999999999E-3</v>
      </c>
      <c r="AD14" s="42" t="s">
        <v>193</v>
      </c>
      <c r="AE14" s="56">
        <v>2.3999999999999998E-3</v>
      </c>
      <c r="AF14" s="42" t="s">
        <v>194</v>
      </c>
      <c r="AG14" s="56">
        <v>6.4999999999999997E-3</v>
      </c>
      <c r="AH14" s="42" t="s">
        <v>1160</v>
      </c>
      <c r="AI14" s="56">
        <v>1.6999999999999999E-3</v>
      </c>
      <c r="AJ14" s="42" t="s">
        <v>1161</v>
      </c>
      <c r="AK14" s="56">
        <v>1.1000000000000001E-3</v>
      </c>
      <c r="AL14" s="42" t="s">
        <v>1162</v>
      </c>
      <c r="AM14" s="61" t="s">
        <v>195</v>
      </c>
      <c r="AN14" s="62" t="s">
        <v>1267</v>
      </c>
      <c r="AO14" s="254"/>
      <c r="AP14" s="254"/>
      <c r="AQ14" s="268"/>
      <c r="AR14" s="267" t="s">
        <v>1170</v>
      </c>
      <c r="AS14" s="340" t="str">
        <f>IF($AK14&lt;=3%,"RESULTADOS FAVORABLES",IF($AK14&gt;=3.7%,"ACCIÓN CORRECTIVA",IF($AK14&gt;=3.5%,"OPORTUNIDAD DE MEJORA")))</f>
        <v>RESULTADOS FAVORABLES</v>
      </c>
      <c r="AT14" s="30">
        <f>AVERAGE(O14,Q14,S14,U13,W13,Y13,AA13,AC13,AE13,AG14,AI14,AK14)</f>
        <v>0.12767704708250846</v>
      </c>
      <c r="AU14" s="30">
        <f t="shared" si="1"/>
        <v>0.13860223318091835</v>
      </c>
      <c r="AV14" s="57"/>
      <c r="AW14" s="31">
        <f t="shared" si="3"/>
        <v>7.4999999999999997E-3</v>
      </c>
      <c r="AX14" s="31">
        <f t="shared" si="4"/>
        <v>2E-3</v>
      </c>
      <c r="AY14" s="63">
        <f t="shared" si="5"/>
        <v>1.6999999999999999E-3</v>
      </c>
      <c r="AZ14" s="31">
        <f>+$U13</f>
        <v>0.2074074074074074</v>
      </c>
      <c r="BA14" s="31">
        <f>+$W13</f>
        <v>0.19765739385065886</v>
      </c>
      <c r="BB14" s="31">
        <f>+$Y13</f>
        <v>0.27419354838709675</v>
      </c>
      <c r="BC14" s="31">
        <f>+$AA13</f>
        <v>0.29980657640232106</v>
      </c>
      <c r="BD14" s="31">
        <f>+$AC13</f>
        <v>0.19922630560928434</v>
      </c>
      <c r="BE14" s="31">
        <f>+$AE13</f>
        <v>0.33333333333333331</v>
      </c>
      <c r="BF14" s="31">
        <f t="shared" si="12"/>
        <v>6.4999999999999997E-3</v>
      </c>
      <c r="BG14" s="31">
        <f t="shared" si="13"/>
        <v>1.6999999999999999E-3</v>
      </c>
      <c r="BH14" s="31">
        <f t="shared" si="14"/>
        <v>1.1000000000000001E-3</v>
      </c>
    </row>
    <row r="15" spans="1:62" s="319" customFormat="1" ht="90" customHeight="1" x14ac:dyDescent="0.2">
      <c r="A15" s="54" t="s">
        <v>146</v>
      </c>
      <c r="B15" s="401"/>
      <c r="C15" s="55" t="s">
        <v>148</v>
      </c>
      <c r="D15" s="20"/>
      <c r="E15" s="20" t="s">
        <v>168</v>
      </c>
      <c r="F15" s="21" t="s">
        <v>196</v>
      </c>
      <c r="G15" s="42" t="s">
        <v>197</v>
      </c>
      <c r="H15" s="42" t="s">
        <v>198</v>
      </c>
      <c r="I15" s="23" t="s">
        <v>47</v>
      </c>
      <c r="J15" s="23" t="s">
        <v>199</v>
      </c>
      <c r="K15" s="23" t="s">
        <v>49</v>
      </c>
      <c r="L15" s="23" t="s">
        <v>156</v>
      </c>
      <c r="M15" s="23" t="s">
        <v>51</v>
      </c>
      <c r="N15" s="23" t="s">
        <v>51</v>
      </c>
      <c r="O15" s="42">
        <v>0</v>
      </c>
      <c r="P15" s="42" t="s">
        <v>200</v>
      </c>
      <c r="Q15" s="42" t="s">
        <v>201</v>
      </c>
      <c r="R15" s="42" t="s">
        <v>202</v>
      </c>
      <c r="S15" s="42" t="s">
        <v>200</v>
      </c>
      <c r="T15" s="42" t="s">
        <v>203</v>
      </c>
      <c r="U15" s="320">
        <v>0</v>
      </c>
      <c r="V15" s="42" t="s">
        <v>203</v>
      </c>
      <c r="W15" s="320">
        <v>0</v>
      </c>
      <c r="X15" s="42" t="s">
        <v>203</v>
      </c>
      <c r="Y15" s="56">
        <f>(750/591636)*100</f>
        <v>0.12676713384581062</v>
      </c>
      <c r="Z15" s="42" t="s">
        <v>204</v>
      </c>
      <c r="AA15" s="56">
        <f>((380/886160)*100)</f>
        <v>4.2881646655231559E-2</v>
      </c>
      <c r="AB15" s="42" t="s">
        <v>205</v>
      </c>
      <c r="AC15" s="56">
        <f>((220/121342)*100)</f>
        <v>0.18130573090933066</v>
      </c>
      <c r="AD15" s="42" t="s">
        <v>206</v>
      </c>
      <c r="AE15" s="56">
        <v>0</v>
      </c>
      <c r="AF15" s="42" t="s">
        <v>203</v>
      </c>
      <c r="AG15" s="42" t="s">
        <v>200</v>
      </c>
      <c r="AH15" s="42" t="s">
        <v>203</v>
      </c>
      <c r="AI15" s="42" t="s">
        <v>200</v>
      </c>
      <c r="AJ15" s="42" t="s">
        <v>203</v>
      </c>
      <c r="AK15" s="42" t="s">
        <v>200</v>
      </c>
      <c r="AL15" s="42" t="s">
        <v>203</v>
      </c>
      <c r="AM15" s="38">
        <v>0</v>
      </c>
      <c r="AN15" s="29" t="s">
        <v>207</v>
      </c>
      <c r="AO15" s="254"/>
      <c r="AP15" s="254"/>
      <c r="AQ15" s="268"/>
      <c r="AR15" s="267" t="s">
        <v>1170</v>
      </c>
      <c r="AS15" s="340" t="str">
        <f>IF($AE15&lt;=10%,"RESULTADOS FAVORABLES",IF($AE15&gt;10%,"ACCIÓN CORRECTIVA",IF($AE15&lt;=9%,"OPORTUNIDAD DE MEJORA")))</f>
        <v>RESULTADOS FAVORABLES</v>
      </c>
      <c r="AT15" s="30">
        <f t="shared" si="2"/>
        <v>5.0136358772910401E-2</v>
      </c>
      <c r="AU15" s="30">
        <f t="shared" si="1"/>
        <v>0.11698483713679093</v>
      </c>
      <c r="AV15" s="57"/>
      <c r="AW15" s="31">
        <f t="shared" si="3"/>
        <v>0</v>
      </c>
      <c r="AX15" s="31" t="str">
        <f t="shared" si="4"/>
        <v xml:space="preserve">  Nectar Azul                                                                         =(Volumen de licor reciclado / Volumen Fabricado en el periodo )*100                                                                     =(4.611/ 35.656) *100 = 12,93 %  </v>
      </c>
      <c r="AY15" s="31" t="str">
        <f t="shared" si="5"/>
        <v>NO HUBO RECICLES EN EL PERIODO</v>
      </c>
      <c r="AZ15" s="31">
        <f t="shared" si="6"/>
        <v>0</v>
      </c>
      <c r="BA15" s="31">
        <f t="shared" si="7"/>
        <v>0</v>
      </c>
      <c r="BB15" s="31">
        <f t="shared" si="8"/>
        <v>0.12676713384581062</v>
      </c>
      <c r="BC15" s="31">
        <f t="shared" si="9"/>
        <v>4.2881646655231559E-2</v>
      </c>
      <c r="BD15" s="31">
        <f t="shared" si="10"/>
        <v>0.18130573090933066</v>
      </c>
      <c r="BE15" s="31">
        <f t="shared" si="11"/>
        <v>0</v>
      </c>
      <c r="BF15" s="31" t="str">
        <f t="shared" si="12"/>
        <v>NO HUBO RECICLES EN EL PERIODO</v>
      </c>
      <c r="BG15" s="31" t="str">
        <f t="shared" si="13"/>
        <v>NO HUBO RECICLES EN EL PERIODO</v>
      </c>
      <c r="BH15" s="31" t="str">
        <f t="shared" si="14"/>
        <v>NO HUBO RECICLES EN EL PERIODO</v>
      </c>
    </row>
    <row r="16" spans="1:62" s="319" customFormat="1" ht="179.25" customHeight="1" x14ac:dyDescent="0.2">
      <c r="A16" s="54" t="s">
        <v>146</v>
      </c>
      <c r="B16" s="401"/>
      <c r="C16" s="55" t="s">
        <v>148</v>
      </c>
      <c r="D16" s="20"/>
      <c r="E16" s="20" t="s">
        <v>208</v>
      </c>
      <c r="F16" s="21" t="s">
        <v>209</v>
      </c>
      <c r="G16" s="42" t="s">
        <v>210</v>
      </c>
      <c r="H16" s="42" t="s">
        <v>211</v>
      </c>
      <c r="I16" s="23" t="s">
        <v>62</v>
      </c>
      <c r="J16" s="23" t="s">
        <v>212</v>
      </c>
      <c r="K16" s="23" t="s">
        <v>49</v>
      </c>
      <c r="L16" s="23" t="s">
        <v>156</v>
      </c>
      <c r="M16" s="23" t="s">
        <v>51</v>
      </c>
      <c r="N16" s="23" t="s">
        <v>51</v>
      </c>
      <c r="O16" s="23">
        <f>270684/292492</f>
        <v>0.92544069581390265</v>
      </c>
      <c r="P16" s="42" t="s">
        <v>213</v>
      </c>
      <c r="Q16" s="42" t="s">
        <v>214</v>
      </c>
      <c r="R16" s="42" t="s">
        <v>215</v>
      </c>
      <c r="S16" s="42" t="s">
        <v>216</v>
      </c>
      <c r="T16" s="42" t="s">
        <v>217</v>
      </c>
      <c r="U16" s="321">
        <f>2780628/3280049</f>
        <v>0.84773977461922068</v>
      </c>
      <c r="V16" s="322" t="s">
        <v>218</v>
      </c>
      <c r="W16" s="321">
        <f>3139470/3912620</f>
        <v>0.80239583706058859</v>
      </c>
      <c r="X16" s="322" t="s">
        <v>219</v>
      </c>
      <c r="Y16" s="321">
        <f>1108344/1089903</f>
        <v>1.016919854335661</v>
      </c>
      <c r="Z16" s="42" t="s">
        <v>220</v>
      </c>
      <c r="AA16" s="321">
        <f>(2034478/2185540)</f>
        <v>0.9308811552293712</v>
      </c>
      <c r="AB16" s="42" t="s">
        <v>221</v>
      </c>
      <c r="AC16" s="321">
        <f>((2037714/5608600))</f>
        <v>0.3633195449844881</v>
      </c>
      <c r="AD16" s="42" t="s">
        <v>222</v>
      </c>
      <c r="AE16" s="323">
        <f>((1082592/1039720))</f>
        <v>1.0412341784326549</v>
      </c>
      <c r="AF16" s="42" t="s">
        <v>223</v>
      </c>
      <c r="AG16" s="323">
        <f>1658568/2249440</f>
        <v>0.73732484529482889</v>
      </c>
      <c r="AH16" s="42" t="s">
        <v>1163</v>
      </c>
      <c r="AI16" s="323">
        <f>2642700/2510000</f>
        <v>1.0528685258964143</v>
      </c>
      <c r="AJ16" s="42" t="s">
        <v>1164</v>
      </c>
      <c r="AK16" s="323">
        <f>1572006/1000000</f>
        <v>1.572006</v>
      </c>
      <c r="AL16" s="42" t="s">
        <v>1165</v>
      </c>
      <c r="AM16" s="38">
        <v>0</v>
      </c>
      <c r="AN16" s="24" t="s">
        <v>224</v>
      </c>
      <c r="AO16" s="254"/>
      <c r="AP16" s="254"/>
      <c r="AQ16" s="268"/>
      <c r="AR16" s="267" t="s">
        <v>1170</v>
      </c>
      <c r="AS16" s="340" t="str">
        <f>IF($AE16&gt;=90%,"RESULTADOS FAVORABLES",IF($AE16&lt;90%,"ACCIÓN CORRECTIVA",IF($AE16&lt;89%,"OPORTUNIDAD DE MEJORA")))</f>
        <v>RESULTADOS FAVORABLES</v>
      </c>
      <c r="AT16" s="30">
        <f t="shared" si="2"/>
        <v>0.92901304116671324</v>
      </c>
      <c r="AU16" s="30">
        <f t="shared" si="1"/>
        <v>0.92940996842813639</v>
      </c>
      <c r="AV16" s="57"/>
      <c r="AW16" s="31">
        <f t="shared" si="3"/>
        <v>0.92544069581390265</v>
      </c>
      <c r="AX16" s="31" t="str">
        <f t="shared" si="4"/>
        <v>UND. REALES/ UND.PROYECTADAS=1.776.174/1.893.910=94%</v>
      </c>
      <c r="AY16" s="31" t="str">
        <f t="shared" si="5"/>
        <v>UND. REALES/ UND.PROYECTADAS=2607576/2887603=90%</v>
      </c>
      <c r="AZ16" s="31">
        <f t="shared" si="6"/>
        <v>0.84773977461922068</v>
      </c>
      <c r="BA16" s="31">
        <f t="shared" si="7"/>
        <v>0.80239583706058859</v>
      </c>
      <c r="BB16" s="31">
        <f t="shared" si="8"/>
        <v>1.016919854335661</v>
      </c>
      <c r="BC16" s="31">
        <f t="shared" si="9"/>
        <v>0.9308811552293712</v>
      </c>
      <c r="BD16" s="31">
        <f t="shared" si="10"/>
        <v>0.3633195449844881</v>
      </c>
      <c r="BE16" s="31">
        <f t="shared" si="11"/>
        <v>1.0412341784326549</v>
      </c>
      <c r="BF16" s="31">
        <f t="shared" si="12"/>
        <v>0.73732484529482889</v>
      </c>
      <c r="BG16" s="31">
        <f t="shared" si="13"/>
        <v>1.0528685258964143</v>
      </c>
      <c r="BH16" s="31">
        <f t="shared" si="14"/>
        <v>1.572006</v>
      </c>
    </row>
    <row r="17" spans="1:60" s="319" customFormat="1" ht="173.25" customHeight="1" x14ac:dyDescent="0.2">
      <c r="A17" s="54" t="s">
        <v>146</v>
      </c>
      <c r="B17" s="401"/>
      <c r="C17" s="55" t="s">
        <v>148</v>
      </c>
      <c r="D17" s="20"/>
      <c r="E17" s="20" t="s">
        <v>208</v>
      </c>
      <c r="F17" s="21" t="s">
        <v>225</v>
      </c>
      <c r="G17" s="42" t="s">
        <v>226</v>
      </c>
      <c r="H17" s="42" t="s">
        <v>227</v>
      </c>
      <c r="I17" s="23" t="s">
        <v>62</v>
      </c>
      <c r="J17" s="23" t="s">
        <v>228</v>
      </c>
      <c r="K17" s="23" t="s">
        <v>49</v>
      </c>
      <c r="L17" s="23" t="s">
        <v>156</v>
      </c>
      <c r="M17" s="23" t="s">
        <v>51</v>
      </c>
      <c r="N17" s="23" t="s">
        <v>51</v>
      </c>
      <c r="O17" s="42" t="s">
        <v>229</v>
      </c>
      <c r="P17" s="42" t="s">
        <v>230</v>
      </c>
      <c r="Q17" s="42" t="s">
        <v>231</v>
      </c>
      <c r="R17" s="42" t="s">
        <v>232</v>
      </c>
      <c r="S17" s="42" t="s">
        <v>233</v>
      </c>
      <c r="T17" s="42" t="s">
        <v>234</v>
      </c>
      <c r="U17" s="321">
        <f>905274/650237</f>
        <v>1.3922216053531251</v>
      </c>
      <c r="V17" s="42" t="s">
        <v>235</v>
      </c>
      <c r="W17" s="321">
        <f>64860/125000</f>
        <v>0.51888000000000001</v>
      </c>
      <c r="X17" s="322" t="s">
        <v>219</v>
      </c>
      <c r="Y17" s="321">
        <f>296352/264704</f>
        <v>1.1195599613152805</v>
      </c>
      <c r="Z17" s="322" t="s">
        <v>236</v>
      </c>
      <c r="AA17" s="323">
        <v>0</v>
      </c>
      <c r="AB17" s="42" t="s">
        <v>237</v>
      </c>
      <c r="AC17" s="321">
        <f>(20664/876914)</f>
        <v>2.3564454439089808E-2</v>
      </c>
      <c r="AD17" s="42" t="s">
        <v>238</v>
      </c>
      <c r="AE17" s="321">
        <f>(165492/176027)</f>
        <v>0.94015122680043406</v>
      </c>
      <c r="AF17" s="42" t="s">
        <v>239</v>
      </c>
      <c r="AG17" s="323">
        <f>0/450000</f>
        <v>0</v>
      </c>
      <c r="AH17" s="42" t="s">
        <v>1166</v>
      </c>
      <c r="AI17" s="323">
        <f>258702/402000</f>
        <v>0.64353731343283582</v>
      </c>
      <c r="AJ17" s="42" t="s">
        <v>1167</v>
      </c>
      <c r="AK17" s="323">
        <f>4956/4956</f>
        <v>1</v>
      </c>
      <c r="AL17" s="42" t="s">
        <v>1168</v>
      </c>
      <c r="AM17" s="38">
        <v>0</v>
      </c>
      <c r="AN17" s="24" t="s">
        <v>224</v>
      </c>
      <c r="AO17" s="254"/>
      <c r="AP17" s="254"/>
      <c r="AQ17" s="268"/>
      <c r="AR17" s="267" t="s">
        <v>1170</v>
      </c>
      <c r="AS17" s="340" t="str">
        <f>IF($AE17&gt;=90%,"RESULTADOS FAVORABLES",IF($AE17&lt;90%,"ACCIÓN CORRECTIVA",IF($AE17&lt;89%,"OPORTUNIDAD DE MEJORA")))</f>
        <v>RESULTADOS FAVORABLES</v>
      </c>
      <c r="AT17" s="30">
        <f t="shared" si="2"/>
        <v>0.62643495126008508</v>
      </c>
      <c r="AU17" s="30">
        <f t="shared" si="1"/>
        <v>0.80541636590582366</v>
      </c>
      <c r="AV17" s="57"/>
      <c r="AW17" s="31" t="str">
        <f t="shared" si="3"/>
        <v>UND. REALES/ UND.PROYECTADAS=132864/222704=60%</v>
      </c>
      <c r="AX17" s="31" t="str">
        <f t="shared" si="4"/>
        <v>UND. REALES/ UND.PROYECTADAS=180288/249040=72%</v>
      </c>
      <c r="AY17" s="31" t="str">
        <f t="shared" si="5"/>
        <v>UND. REALES/ UND.PROYECTADAS=149508/361902=41%</v>
      </c>
      <c r="AZ17" s="31">
        <f t="shared" si="6"/>
        <v>1.3922216053531251</v>
      </c>
      <c r="BA17" s="31">
        <f t="shared" si="7"/>
        <v>0.51888000000000001</v>
      </c>
      <c r="BB17" s="31">
        <f t="shared" si="8"/>
        <v>1.1195599613152805</v>
      </c>
      <c r="BC17" s="31">
        <f t="shared" si="9"/>
        <v>0</v>
      </c>
      <c r="BD17" s="31">
        <f t="shared" si="10"/>
        <v>2.3564454439089808E-2</v>
      </c>
      <c r="BE17" s="31">
        <f t="shared" si="11"/>
        <v>0.94015122680043406</v>
      </c>
      <c r="BF17" s="31">
        <f t="shared" si="12"/>
        <v>0</v>
      </c>
      <c r="BG17" s="31">
        <f t="shared" si="13"/>
        <v>0.64353731343283582</v>
      </c>
      <c r="BH17" s="31">
        <f t="shared" si="14"/>
        <v>1</v>
      </c>
    </row>
    <row r="18" spans="1:60" s="319" customFormat="1" ht="141" customHeight="1" x14ac:dyDescent="0.2">
      <c r="A18" s="54" t="s">
        <v>146</v>
      </c>
      <c r="B18" s="402"/>
      <c r="C18" s="55" t="s">
        <v>148</v>
      </c>
      <c r="D18" s="20"/>
      <c r="E18" s="20" t="s">
        <v>208</v>
      </c>
      <c r="F18" s="21" t="s">
        <v>240</v>
      </c>
      <c r="G18" s="42" t="s">
        <v>241</v>
      </c>
      <c r="H18" s="42" t="s">
        <v>242</v>
      </c>
      <c r="I18" s="23" t="s">
        <v>62</v>
      </c>
      <c r="J18" s="23" t="s">
        <v>228</v>
      </c>
      <c r="K18" s="23" t="s">
        <v>49</v>
      </c>
      <c r="L18" s="23" t="s">
        <v>156</v>
      </c>
      <c r="M18" s="23" t="s">
        <v>51</v>
      </c>
      <c r="N18" s="23" t="s">
        <v>51</v>
      </c>
      <c r="O18" s="42">
        <v>0</v>
      </c>
      <c r="P18" s="42" t="s">
        <v>243</v>
      </c>
      <c r="Q18" s="42">
        <v>0</v>
      </c>
      <c r="R18" s="42" t="s">
        <v>243</v>
      </c>
      <c r="S18" s="42">
        <v>0</v>
      </c>
      <c r="T18" s="42" t="s">
        <v>243</v>
      </c>
      <c r="U18" s="40">
        <v>0</v>
      </c>
      <c r="V18" s="42" t="s">
        <v>243</v>
      </c>
      <c r="W18" s="40">
        <v>0</v>
      </c>
      <c r="X18" s="42" t="s">
        <v>243</v>
      </c>
      <c r="Y18" s="40">
        <v>0</v>
      </c>
      <c r="Z18" s="42" t="s">
        <v>243</v>
      </c>
      <c r="AA18" s="43">
        <v>0</v>
      </c>
      <c r="AB18" s="42" t="s">
        <v>243</v>
      </c>
      <c r="AC18" s="43">
        <v>0</v>
      </c>
      <c r="AD18" s="42" t="s">
        <v>243</v>
      </c>
      <c r="AE18" s="43">
        <v>0</v>
      </c>
      <c r="AF18" s="42" t="s">
        <v>243</v>
      </c>
      <c r="AG18" s="23">
        <v>0</v>
      </c>
      <c r="AH18" s="42" t="s">
        <v>243</v>
      </c>
      <c r="AI18" s="43">
        <f>95280/97064</f>
        <v>0.98162037418610404</v>
      </c>
      <c r="AJ18" s="42" t="s">
        <v>1169</v>
      </c>
      <c r="AK18" s="23">
        <v>0</v>
      </c>
      <c r="AL18" s="42" t="s">
        <v>243</v>
      </c>
      <c r="AM18" s="38">
        <v>0</v>
      </c>
      <c r="AN18" s="24" t="s">
        <v>224</v>
      </c>
      <c r="AO18" s="329"/>
      <c r="AP18" s="254"/>
      <c r="AQ18" s="254"/>
      <c r="AR18" s="267" t="s">
        <v>1270</v>
      </c>
      <c r="AS18" s="340" t="str">
        <f>IF($AE18&gt;=90%,"RESULTADOS FAVORABLES",IF($AE18&lt;90%,"ACCIÓN CORRECTIVA",IF($AE18&lt;89%,"OPORTUNIDAD DE MEJORA")))</f>
        <v>ACCIÓN CORRECTIVA</v>
      </c>
      <c r="AT18" s="30">
        <f t="shared" si="2"/>
        <v>8.1801697848842003E-2</v>
      </c>
      <c r="AU18" s="30">
        <f t="shared" si="1"/>
        <v>0.98162037418610404</v>
      </c>
      <c r="AV18" s="57"/>
      <c r="AW18" s="31">
        <f t="shared" si="3"/>
        <v>0</v>
      </c>
      <c r="AX18" s="31">
        <f t="shared" si="4"/>
        <v>0</v>
      </c>
      <c r="AY18" s="31">
        <f t="shared" si="5"/>
        <v>0</v>
      </c>
      <c r="AZ18" s="31">
        <f t="shared" si="6"/>
        <v>0</v>
      </c>
      <c r="BA18" s="31">
        <f t="shared" si="7"/>
        <v>0</v>
      </c>
      <c r="BB18" s="31">
        <f t="shared" si="8"/>
        <v>0</v>
      </c>
      <c r="BC18" s="31">
        <f t="shared" si="9"/>
        <v>0</v>
      </c>
      <c r="BD18" s="31">
        <f t="shared" si="10"/>
        <v>0</v>
      </c>
      <c r="BE18" s="31">
        <f t="shared" si="11"/>
        <v>0</v>
      </c>
      <c r="BF18" s="31">
        <f t="shared" si="12"/>
        <v>0</v>
      </c>
      <c r="BG18" s="31">
        <f t="shared" si="13"/>
        <v>0.98162037418610404</v>
      </c>
      <c r="BH18" s="31">
        <f t="shared" si="14"/>
        <v>0</v>
      </c>
    </row>
    <row r="19" spans="1:60" ht="196.5" customHeight="1" x14ac:dyDescent="0.2">
      <c r="A19" s="64" t="s">
        <v>146</v>
      </c>
      <c r="B19" s="65" t="s">
        <v>244</v>
      </c>
      <c r="C19" s="66" t="s">
        <v>245</v>
      </c>
      <c r="D19" s="67" t="s">
        <v>246</v>
      </c>
      <c r="E19" s="289" t="s">
        <v>247</v>
      </c>
      <c r="F19" s="69" t="s">
        <v>248</v>
      </c>
      <c r="G19" s="289" t="s">
        <v>249</v>
      </c>
      <c r="H19" s="289" t="s">
        <v>250</v>
      </c>
      <c r="I19" s="70" t="s">
        <v>47</v>
      </c>
      <c r="J19" s="70" t="s">
        <v>251</v>
      </c>
      <c r="K19" s="70" t="s">
        <v>49</v>
      </c>
      <c r="L19" s="70" t="s">
        <v>252</v>
      </c>
      <c r="M19" s="70" t="s">
        <v>51</v>
      </c>
      <c r="N19" s="70" t="s">
        <v>51</v>
      </c>
      <c r="O19" s="60">
        <f>+'[4]INDICADORES CECO'!$E$21</f>
        <v>0.35791237201679194</v>
      </c>
      <c r="P19" s="72" t="s">
        <v>253</v>
      </c>
      <c r="Q19" s="60">
        <f>+'[4]INDICADORES CECO'!$G$21</f>
        <v>0.24790434014631613</v>
      </c>
      <c r="R19" s="72" t="s">
        <v>254</v>
      </c>
      <c r="S19" s="60">
        <f>+'[4]INDICADORES CECO'!$I$21</f>
        <v>0.11090570143018763</v>
      </c>
      <c r="T19" s="72" t="s">
        <v>255</v>
      </c>
      <c r="U19" s="318">
        <f>+'[3]INDICADORES CECO 2DO TRIM'!$D$40</f>
        <v>0.31452067899106406</v>
      </c>
      <c r="V19" s="289" t="s">
        <v>256</v>
      </c>
      <c r="W19" s="318">
        <f>+'[3]INDICADORES CECO 2DO TRIM'!$F$40</f>
        <v>0.42834991514208404</v>
      </c>
      <c r="X19" s="289" t="s">
        <v>257</v>
      </c>
      <c r="Y19" s="318">
        <f>+'[3]INDICADORES CECO 2DO TRIM'!$H$40</f>
        <v>7.5975066645455988E-2</v>
      </c>
      <c r="Z19" s="289" t="s">
        <v>258</v>
      </c>
      <c r="AA19" s="68"/>
      <c r="AB19" s="289" t="s">
        <v>1231</v>
      </c>
      <c r="AC19" s="68"/>
      <c r="AD19" s="289" t="s">
        <v>1231</v>
      </c>
      <c r="AE19" s="68"/>
      <c r="AF19" s="289" t="s">
        <v>1231</v>
      </c>
      <c r="AG19" s="68"/>
      <c r="AH19" s="289" t="s">
        <v>1231</v>
      </c>
      <c r="AI19" s="68"/>
      <c r="AJ19" s="289" t="s">
        <v>1231</v>
      </c>
      <c r="AK19" s="68"/>
      <c r="AL19" s="289" t="s">
        <v>1231</v>
      </c>
      <c r="AM19" s="24" t="s">
        <v>259</v>
      </c>
      <c r="AN19" s="24" t="s">
        <v>58</v>
      </c>
      <c r="AO19" s="329"/>
      <c r="AP19" s="258"/>
      <c r="AQ19" s="258"/>
      <c r="AR19" s="264" t="s">
        <v>1271</v>
      </c>
      <c r="AS19" s="340" t="str">
        <f t="shared" ref="AS19:AS20" si="16">IF($AE19&gt;=25%,"RESULTADOS FAVORABLES",IF($AE19&lt;12.5%,"ACCIÓN CORRECTIVA",IF($AE19&lt;24%,"OPORTUNIDAD DE MEJORA")))</f>
        <v>ACCIÓN CORRECTIVA</v>
      </c>
      <c r="AT19" s="30">
        <f t="shared" si="2"/>
        <v>0.2559280123953166</v>
      </c>
      <c r="AU19" s="30">
        <f t="shared" si="1"/>
        <v>0.23553114047102156</v>
      </c>
      <c r="AV19" s="1"/>
      <c r="AW19" s="31">
        <f t="shared" si="3"/>
        <v>0.35791237201679194</v>
      </c>
      <c r="AX19" s="31">
        <f t="shared" si="4"/>
        <v>0.24790434014631613</v>
      </c>
      <c r="AY19" s="31">
        <f t="shared" si="5"/>
        <v>0.11090570143018763</v>
      </c>
      <c r="AZ19" s="31">
        <f t="shared" si="6"/>
        <v>0.31452067899106406</v>
      </c>
      <c r="BA19" s="31">
        <f t="shared" si="7"/>
        <v>0.42834991514208404</v>
      </c>
      <c r="BB19" s="31">
        <f t="shared" si="8"/>
        <v>7.5975066645455988E-2</v>
      </c>
      <c r="BC19" s="31">
        <f t="shared" si="9"/>
        <v>0</v>
      </c>
      <c r="BD19" s="31">
        <f t="shared" si="10"/>
        <v>0</v>
      </c>
      <c r="BE19" s="31">
        <f t="shared" si="11"/>
        <v>0</v>
      </c>
      <c r="BF19" s="31">
        <f t="shared" si="12"/>
        <v>0</v>
      </c>
      <c r="BG19" s="31">
        <f t="shared" si="13"/>
        <v>0</v>
      </c>
      <c r="BH19" s="31">
        <f t="shared" si="14"/>
        <v>0</v>
      </c>
    </row>
    <row r="20" spans="1:60" ht="198.75" customHeight="1" x14ac:dyDescent="0.2">
      <c r="A20" s="17" t="s">
        <v>146</v>
      </c>
      <c r="B20" s="276"/>
      <c r="C20" s="55" t="s">
        <v>245</v>
      </c>
      <c r="D20" s="20" t="s">
        <v>260</v>
      </c>
      <c r="E20" s="42" t="s">
        <v>261</v>
      </c>
      <c r="F20" s="73" t="s">
        <v>262</v>
      </c>
      <c r="G20" s="42" t="s">
        <v>263</v>
      </c>
      <c r="H20" s="42" t="s">
        <v>264</v>
      </c>
      <c r="I20" s="23" t="s">
        <v>47</v>
      </c>
      <c r="J20" s="23" t="s">
        <v>1358</v>
      </c>
      <c r="K20" s="70" t="s">
        <v>49</v>
      </c>
      <c r="L20" s="70" t="s">
        <v>252</v>
      </c>
      <c r="M20" s="23" t="s">
        <v>51</v>
      </c>
      <c r="N20" s="23" t="s">
        <v>51</v>
      </c>
      <c r="O20" s="71">
        <v>0</v>
      </c>
      <c r="P20" s="72" t="s">
        <v>266</v>
      </c>
      <c r="Q20" s="71">
        <f>169997005/14902717239</f>
        <v>1.1407114707586515E-2</v>
      </c>
      <c r="R20" s="72" t="s">
        <v>267</v>
      </c>
      <c r="S20" s="71">
        <f>454329965/7792314828</f>
        <v>5.8304877950703868E-2</v>
      </c>
      <c r="T20" s="72" t="s">
        <v>268</v>
      </c>
      <c r="U20" s="43">
        <f>721049966/7950221604</f>
        <v>9.0695580817170898E-2</v>
      </c>
      <c r="V20" s="58" t="s">
        <v>269</v>
      </c>
      <c r="W20" s="43">
        <f>196187675/8006593560</f>
        <v>2.4503263907403837E-2</v>
      </c>
      <c r="X20" s="58" t="s">
        <v>270</v>
      </c>
      <c r="Y20" s="43">
        <f>226823165/8654922456</f>
        <v>2.6207417357362397E-2</v>
      </c>
      <c r="Z20" s="58" t="s">
        <v>271</v>
      </c>
      <c r="AA20" s="43">
        <f>531931000/7464145770</f>
        <v>7.1264819363247772E-2</v>
      </c>
      <c r="AB20" s="58" t="s">
        <v>1201</v>
      </c>
      <c r="AC20" s="43">
        <f>813848797/7469431394</f>
        <v>0.10895726248369368</v>
      </c>
      <c r="AD20" s="58" t="s">
        <v>1202</v>
      </c>
      <c r="AE20" s="43">
        <f>935229016/9042770630</f>
        <v>0.10342283955509331</v>
      </c>
      <c r="AF20" s="58" t="s">
        <v>1203</v>
      </c>
      <c r="AG20" s="71">
        <f>950263072/7139030756</f>
        <v>0.13310813533074517</v>
      </c>
      <c r="AH20" s="72" t="s">
        <v>1204</v>
      </c>
      <c r="AI20" s="71">
        <f>474902026/18403323056</f>
        <v>2.580523227000401E-2</v>
      </c>
      <c r="AJ20" s="72" t="s">
        <v>1205</v>
      </c>
      <c r="AK20" s="71">
        <f>2051395230/34089450564</f>
        <v>6.0176834652957596E-2</v>
      </c>
      <c r="AL20" s="72" t="s">
        <v>1206</v>
      </c>
      <c r="AM20" s="74">
        <v>0</v>
      </c>
      <c r="AN20" s="75" t="s">
        <v>272</v>
      </c>
      <c r="AO20" s="255"/>
      <c r="AP20" s="255"/>
      <c r="AQ20" s="274"/>
      <c r="AR20" s="264" t="s">
        <v>1272</v>
      </c>
      <c r="AS20" s="340" t="str">
        <f t="shared" si="16"/>
        <v>ACCIÓN CORRECTIVA</v>
      </c>
      <c r="AT20" s="30">
        <f t="shared" si="2"/>
        <v>5.948778153299742E-2</v>
      </c>
      <c r="AU20" s="30">
        <f t="shared" si="1"/>
        <v>6.489576167236083E-2</v>
      </c>
      <c r="AV20" s="1"/>
      <c r="AW20" s="31">
        <f t="shared" si="3"/>
        <v>0</v>
      </c>
      <c r="AX20" s="31">
        <f t="shared" si="4"/>
        <v>1.1407114707586515E-2</v>
      </c>
      <c r="AY20" s="31">
        <f t="shared" si="5"/>
        <v>5.8304877950703868E-2</v>
      </c>
      <c r="AZ20" s="31">
        <f t="shared" si="6"/>
        <v>9.0695580817170898E-2</v>
      </c>
      <c r="BA20" s="31">
        <f t="shared" si="7"/>
        <v>2.4503263907403837E-2</v>
      </c>
      <c r="BB20" s="31">
        <f t="shared" si="8"/>
        <v>2.6207417357362397E-2</v>
      </c>
      <c r="BC20" s="31">
        <f t="shared" si="9"/>
        <v>7.1264819363247772E-2</v>
      </c>
      <c r="BD20" s="31">
        <f t="shared" si="10"/>
        <v>0.10895726248369368</v>
      </c>
      <c r="BE20" s="31">
        <f t="shared" si="11"/>
        <v>0.10342283955509331</v>
      </c>
      <c r="BF20" s="31">
        <f t="shared" si="12"/>
        <v>0.13310813533074517</v>
      </c>
      <c r="BG20" s="31">
        <f t="shared" si="13"/>
        <v>2.580523227000401E-2</v>
      </c>
      <c r="BH20" s="31">
        <f t="shared" si="14"/>
        <v>6.0176834652957596E-2</v>
      </c>
    </row>
    <row r="21" spans="1:60" ht="99.75" customHeight="1" x14ac:dyDescent="0.2">
      <c r="A21" s="17" t="s">
        <v>146</v>
      </c>
      <c r="B21" s="276"/>
      <c r="C21" s="55" t="s">
        <v>245</v>
      </c>
      <c r="D21" s="20" t="s">
        <v>273</v>
      </c>
      <c r="E21" s="42" t="s">
        <v>274</v>
      </c>
      <c r="F21" s="73" t="s">
        <v>275</v>
      </c>
      <c r="G21" s="42" t="s">
        <v>276</v>
      </c>
      <c r="H21" s="42" t="s">
        <v>277</v>
      </c>
      <c r="I21" s="23" t="s">
        <v>62</v>
      </c>
      <c r="J21" s="23" t="s">
        <v>1232</v>
      </c>
      <c r="K21" s="23" t="s">
        <v>278</v>
      </c>
      <c r="L21" s="70" t="s">
        <v>252</v>
      </c>
      <c r="M21" s="23" t="s">
        <v>51</v>
      </c>
      <c r="N21" s="23" t="s">
        <v>51</v>
      </c>
      <c r="O21" s="71" t="s">
        <v>279</v>
      </c>
      <c r="P21" s="72" t="s">
        <v>280</v>
      </c>
      <c r="Q21" s="71">
        <f>+(1649458+44664)/(751007+124458)</f>
        <v>1.9351110552677719</v>
      </c>
      <c r="R21" s="72" t="s">
        <v>281</v>
      </c>
      <c r="S21" s="71">
        <f>(820540+60845)/(1103606+202940)</f>
        <v>0.67459163320694415</v>
      </c>
      <c r="T21" s="72" t="s">
        <v>282</v>
      </c>
      <c r="U21" s="43">
        <f>(812247+52736)/(810592+156099)</f>
        <v>0.89478747603939623</v>
      </c>
      <c r="V21" s="58" t="s">
        <v>283</v>
      </c>
      <c r="W21" s="43">
        <f>(816744+75387)/(858188+151336)</f>
        <v>0.88371450307273525</v>
      </c>
      <c r="X21" s="58" t="s">
        <v>284</v>
      </c>
      <c r="Y21" s="43">
        <f>(821006+157577)/(942242+221602)</f>
        <v>0.84081973185409731</v>
      </c>
      <c r="Z21" s="58" t="s">
        <v>285</v>
      </c>
      <c r="AA21" s="43">
        <f>876152/991657</f>
        <v>0.88352323434413316</v>
      </c>
      <c r="AB21" s="58" t="s">
        <v>1207</v>
      </c>
      <c r="AC21" s="43">
        <f>852521/1008450</f>
        <v>0.84537755962120087</v>
      </c>
      <c r="AD21" s="58" t="s">
        <v>1208</v>
      </c>
      <c r="AE21" s="43">
        <f>1000659/1048325</f>
        <v>0.9545312760832757</v>
      </c>
      <c r="AF21" s="58" t="s">
        <v>1209</v>
      </c>
      <c r="AG21" s="71">
        <f>821598/1034905</f>
        <v>0.79388736164188989</v>
      </c>
      <c r="AH21" s="72" t="s">
        <v>1210</v>
      </c>
      <c r="AI21" s="71">
        <f>2094059/1134472</f>
        <v>1.845844586732859</v>
      </c>
      <c r="AJ21" s="72" t="s">
        <v>1211</v>
      </c>
      <c r="AK21" s="71">
        <f>3889994/6607255</f>
        <v>0.58874585588114881</v>
      </c>
      <c r="AL21" s="72" t="s">
        <v>1212</v>
      </c>
      <c r="AM21" s="74">
        <v>0</v>
      </c>
      <c r="AN21" s="76">
        <v>16924733</v>
      </c>
      <c r="AO21" s="259"/>
      <c r="AP21" s="259"/>
      <c r="AQ21" s="274"/>
      <c r="AR21" s="267" t="s">
        <v>1170</v>
      </c>
      <c r="AS21" s="340" t="s">
        <v>1327</v>
      </c>
      <c r="AT21" s="30">
        <f t="shared" si="2"/>
        <v>1.0128122067041319</v>
      </c>
      <c r="AU21" s="30">
        <f t="shared" si="1"/>
        <v>1.0128122067041319</v>
      </c>
      <c r="AV21" s="1"/>
      <c r="AW21" s="31" t="str">
        <f t="shared" si="3"/>
        <v>n/a</v>
      </c>
      <c r="AX21" s="31">
        <f t="shared" si="4"/>
        <v>1.9351110552677719</v>
      </c>
      <c r="AY21" s="31">
        <f t="shared" si="5"/>
        <v>0.67459163320694415</v>
      </c>
      <c r="AZ21" s="31">
        <f t="shared" si="6"/>
        <v>0.89478747603939623</v>
      </c>
      <c r="BA21" s="31">
        <f t="shared" si="7"/>
        <v>0.88371450307273525</v>
      </c>
      <c r="BB21" s="31">
        <f t="shared" si="8"/>
        <v>0.84081973185409731</v>
      </c>
      <c r="BC21" s="31">
        <f t="shared" si="9"/>
        <v>0.88352323434413316</v>
      </c>
      <c r="BD21" s="31">
        <f t="shared" si="10"/>
        <v>0.84537755962120087</v>
      </c>
      <c r="BE21" s="31">
        <f t="shared" si="11"/>
        <v>0.9545312760832757</v>
      </c>
      <c r="BF21" s="31">
        <f t="shared" si="12"/>
        <v>0.79388736164188989</v>
      </c>
      <c r="BG21" s="31">
        <f t="shared" si="13"/>
        <v>1.845844586732859</v>
      </c>
      <c r="BH21" s="31">
        <f t="shared" si="14"/>
        <v>0.58874585588114881</v>
      </c>
    </row>
    <row r="22" spans="1:60" ht="105.75" customHeight="1" x14ac:dyDescent="0.2">
      <c r="A22" s="17" t="s">
        <v>146</v>
      </c>
      <c r="B22" s="276"/>
      <c r="C22" s="55" t="s">
        <v>245</v>
      </c>
      <c r="D22" s="324"/>
      <c r="E22" s="42" t="s">
        <v>274</v>
      </c>
      <c r="F22" s="73" t="s">
        <v>286</v>
      </c>
      <c r="G22" s="42" t="s">
        <v>287</v>
      </c>
      <c r="H22" s="42" t="s">
        <v>288</v>
      </c>
      <c r="I22" s="23" t="s">
        <v>62</v>
      </c>
      <c r="J22" s="23" t="s">
        <v>1232</v>
      </c>
      <c r="K22" s="23" t="s">
        <v>278</v>
      </c>
      <c r="L22" s="70" t="s">
        <v>252</v>
      </c>
      <c r="M22" s="23" t="s">
        <v>51</v>
      </c>
      <c r="N22" s="23" t="s">
        <v>51</v>
      </c>
      <c r="O22" s="71" t="s">
        <v>279</v>
      </c>
      <c r="P22" s="72" t="s">
        <v>280</v>
      </c>
      <c r="Q22" s="71">
        <f>1649458/751007</f>
        <v>2.1963283964064249</v>
      </c>
      <c r="R22" s="72" t="s">
        <v>289</v>
      </c>
      <c r="S22" s="71">
        <f>820540/1103606</f>
        <v>0.74350809981098331</v>
      </c>
      <c r="T22" s="72" t="s">
        <v>290</v>
      </c>
      <c r="U22" s="43">
        <f>812247/810592</f>
        <v>1.0020417176582053</v>
      </c>
      <c r="V22" s="58" t="s">
        <v>291</v>
      </c>
      <c r="W22" s="43">
        <f>816744/858188</f>
        <v>0.95170755125916462</v>
      </c>
      <c r="X22" s="58" t="s">
        <v>292</v>
      </c>
      <c r="Y22" s="43">
        <f>821006/942242</f>
        <v>0.87133241778651349</v>
      </c>
      <c r="Z22" s="58" t="s">
        <v>293</v>
      </c>
      <c r="AA22" s="71">
        <f>819940/823407</f>
        <v>0.99578944555972926</v>
      </c>
      <c r="AB22" s="72" t="s">
        <v>1213</v>
      </c>
      <c r="AC22" s="71">
        <f>793197/823407</f>
        <v>0.96331097500992824</v>
      </c>
      <c r="AD22" s="72" t="s">
        <v>1214</v>
      </c>
      <c r="AE22" s="71">
        <f>811964/823407</f>
        <v>0.98610286286125814</v>
      </c>
      <c r="AF22" s="72" t="s">
        <v>1215</v>
      </c>
      <c r="AG22" s="71">
        <f>813643/823407</f>
        <v>0.98814195167153063</v>
      </c>
      <c r="AH22" s="72" t="s">
        <v>1216</v>
      </c>
      <c r="AI22" s="71">
        <f>1980325/823407</f>
        <v>2.4050378488402453</v>
      </c>
      <c r="AJ22" s="72" t="s">
        <v>1217</v>
      </c>
      <c r="AK22" s="71">
        <f>3446460/6315661</f>
        <v>0.54570060045971436</v>
      </c>
      <c r="AL22" s="72" t="s">
        <v>1218</v>
      </c>
      <c r="AM22" s="74">
        <v>0</v>
      </c>
      <c r="AN22" s="76">
        <v>15494807</v>
      </c>
      <c r="AO22" s="255"/>
      <c r="AP22" s="255"/>
      <c r="AQ22" s="274"/>
      <c r="AR22" s="267" t="s">
        <v>1170</v>
      </c>
      <c r="AS22" s="340" t="s">
        <v>1327</v>
      </c>
      <c r="AT22" s="30">
        <f t="shared" si="2"/>
        <v>1.1499092606657906</v>
      </c>
      <c r="AU22" s="30">
        <f t="shared" si="1"/>
        <v>1.1499092606657906</v>
      </c>
      <c r="AV22" s="1"/>
      <c r="AW22" s="31" t="str">
        <f t="shared" si="3"/>
        <v>n/a</v>
      </c>
      <c r="AX22" s="31">
        <f t="shared" si="4"/>
        <v>2.1963283964064249</v>
      </c>
      <c r="AY22" s="31">
        <f t="shared" si="5"/>
        <v>0.74350809981098331</v>
      </c>
      <c r="AZ22" s="31">
        <f t="shared" si="6"/>
        <v>1.0020417176582053</v>
      </c>
      <c r="BA22" s="31">
        <f t="shared" si="7"/>
        <v>0.95170755125916462</v>
      </c>
      <c r="BB22" s="31">
        <f t="shared" si="8"/>
        <v>0.87133241778651349</v>
      </c>
      <c r="BC22" s="31">
        <f t="shared" si="9"/>
        <v>0.99578944555972926</v>
      </c>
      <c r="BD22" s="31">
        <f t="shared" si="10"/>
        <v>0.96331097500992824</v>
      </c>
      <c r="BE22" s="31">
        <f t="shared" si="11"/>
        <v>0.98610286286125814</v>
      </c>
      <c r="BF22" s="31">
        <f t="shared" si="12"/>
        <v>0.98814195167153063</v>
      </c>
      <c r="BG22" s="31">
        <f t="shared" si="13"/>
        <v>2.4050378488402453</v>
      </c>
      <c r="BH22" s="31">
        <f t="shared" si="14"/>
        <v>0.54570060045971436</v>
      </c>
    </row>
    <row r="23" spans="1:60" ht="111.75" customHeight="1" x14ac:dyDescent="0.2">
      <c r="A23" s="17" t="s">
        <v>146</v>
      </c>
      <c r="B23" s="276"/>
      <c r="C23" s="55" t="s">
        <v>245</v>
      </c>
      <c r="D23" s="324"/>
      <c r="E23" s="42" t="s">
        <v>274</v>
      </c>
      <c r="F23" s="73" t="s">
        <v>294</v>
      </c>
      <c r="G23" s="42" t="s">
        <v>295</v>
      </c>
      <c r="H23" s="42" t="s">
        <v>296</v>
      </c>
      <c r="I23" s="23" t="s">
        <v>62</v>
      </c>
      <c r="J23" s="23" t="s">
        <v>1232</v>
      </c>
      <c r="K23" s="23" t="s">
        <v>278</v>
      </c>
      <c r="L23" s="70" t="s">
        <v>252</v>
      </c>
      <c r="M23" s="23" t="s">
        <v>51</v>
      </c>
      <c r="N23" s="23" t="s">
        <v>51</v>
      </c>
      <c r="O23" s="71" t="s">
        <v>279</v>
      </c>
      <c r="P23" s="72" t="s">
        <v>280</v>
      </c>
      <c r="Q23" s="71">
        <f>44664/124458</f>
        <v>0.35886805187292098</v>
      </c>
      <c r="R23" s="72" t="s">
        <v>297</v>
      </c>
      <c r="S23" s="71">
        <f>60845/202940</f>
        <v>0.29981768010249332</v>
      </c>
      <c r="T23" s="72" t="s">
        <v>298</v>
      </c>
      <c r="U23" s="43">
        <f>52736/154891</f>
        <v>0.34047168654085774</v>
      </c>
      <c r="V23" s="58" t="s">
        <v>299</v>
      </c>
      <c r="W23" s="43">
        <f>75387/150128</f>
        <v>0.50215149738889486</v>
      </c>
      <c r="X23" s="58" t="s">
        <v>300</v>
      </c>
      <c r="Y23" s="43">
        <f>157577/220937</f>
        <v>0.71322141605978173</v>
      </c>
      <c r="Z23" s="58" t="s">
        <v>301</v>
      </c>
      <c r="AA23" s="71">
        <f>37212/158250</f>
        <v>0.23514691943127963</v>
      </c>
      <c r="AB23" s="72" t="s">
        <v>1219</v>
      </c>
      <c r="AC23" s="71">
        <f>59324/161043</f>
        <v>0.36837366417664846</v>
      </c>
      <c r="AD23" s="72" t="s">
        <v>1220</v>
      </c>
      <c r="AE23" s="71">
        <f>188695/202918</f>
        <v>0.92990764742408261</v>
      </c>
      <c r="AF23" s="72" t="s">
        <v>1221</v>
      </c>
      <c r="AG23" s="71">
        <f>7955/211498</f>
        <v>3.7612648819374178E-2</v>
      </c>
      <c r="AH23" s="72" t="s">
        <v>1222</v>
      </c>
      <c r="AI23" s="71">
        <f>113734/277065</f>
        <v>0.41049573204843631</v>
      </c>
      <c r="AJ23" s="72" t="s">
        <v>1223</v>
      </c>
      <c r="AK23" s="71">
        <f>443534/267594</f>
        <v>1.6574885834510489</v>
      </c>
      <c r="AL23" s="72" t="s">
        <v>1224</v>
      </c>
      <c r="AM23" s="74">
        <v>0</v>
      </c>
      <c r="AN23" s="77">
        <v>1295562</v>
      </c>
      <c r="AO23" s="255"/>
      <c r="AP23" s="255"/>
      <c r="AQ23" s="274"/>
      <c r="AR23" s="267" t="s">
        <v>1170</v>
      </c>
      <c r="AS23" s="340" t="s">
        <v>1327</v>
      </c>
      <c r="AT23" s="30">
        <f t="shared" si="2"/>
        <v>0.53214141157416528</v>
      </c>
      <c r="AU23" s="30">
        <f t="shared" si="1"/>
        <v>0.53214141157416528</v>
      </c>
      <c r="AV23" s="1"/>
      <c r="AW23" s="31" t="str">
        <f t="shared" si="3"/>
        <v>n/a</v>
      </c>
      <c r="AX23" s="31">
        <f t="shared" si="4"/>
        <v>0.35886805187292098</v>
      </c>
      <c r="AY23" s="31">
        <f t="shared" si="5"/>
        <v>0.29981768010249332</v>
      </c>
      <c r="AZ23" s="31">
        <f t="shared" si="6"/>
        <v>0.34047168654085774</v>
      </c>
      <c r="BA23" s="31">
        <f t="shared" si="7"/>
        <v>0.50215149738889486</v>
      </c>
      <c r="BB23" s="31">
        <f t="shared" si="8"/>
        <v>0.71322141605978173</v>
      </c>
      <c r="BC23" s="31">
        <f t="shared" si="9"/>
        <v>0.23514691943127963</v>
      </c>
      <c r="BD23" s="31">
        <f t="shared" si="10"/>
        <v>0.36837366417664846</v>
      </c>
      <c r="BE23" s="31">
        <f t="shared" si="11"/>
        <v>0.92990764742408261</v>
      </c>
      <c r="BF23" s="31">
        <f t="shared" si="12"/>
        <v>3.7612648819374178E-2</v>
      </c>
      <c r="BG23" s="31">
        <f t="shared" si="13"/>
        <v>0.41049573204843631</v>
      </c>
      <c r="BH23" s="31">
        <f t="shared" si="14"/>
        <v>1.6574885834510489</v>
      </c>
    </row>
    <row r="24" spans="1:60" ht="132.75" customHeight="1" x14ac:dyDescent="0.2">
      <c r="A24" s="17" t="s">
        <v>146</v>
      </c>
      <c r="B24" s="276"/>
      <c r="C24" s="55" t="s">
        <v>245</v>
      </c>
      <c r="D24" s="324"/>
      <c r="E24" s="42" t="s">
        <v>274</v>
      </c>
      <c r="F24" s="73" t="s">
        <v>302</v>
      </c>
      <c r="G24" s="42" t="s">
        <v>303</v>
      </c>
      <c r="H24" s="42" t="s">
        <v>304</v>
      </c>
      <c r="I24" s="23" t="s">
        <v>62</v>
      </c>
      <c r="J24" s="23" t="s">
        <v>1232</v>
      </c>
      <c r="K24" s="23" t="s">
        <v>278</v>
      </c>
      <c r="L24" s="70" t="s">
        <v>252</v>
      </c>
      <c r="M24" s="23" t="s">
        <v>51</v>
      </c>
      <c r="N24" s="23" t="s">
        <v>51</v>
      </c>
      <c r="O24" s="71" t="s">
        <v>279</v>
      </c>
      <c r="P24" s="72" t="s">
        <v>280</v>
      </c>
      <c r="Q24" s="71">
        <f>20040/46000</f>
        <v>0.43565217391304351</v>
      </c>
      <c r="R24" s="72" t="s">
        <v>305</v>
      </c>
      <c r="S24" s="71">
        <v>0</v>
      </c>
      <c r="T24" s="72" t="s">
        <v>306</v>
      </c>
      <c r="U24" s="43">
        <v>0</v>
      </c>
      <c r="V24" s="58" t="s">
        <v>306</v>
      </c>
      <c r="W24" s="43">
        <v>0</v>
      </c>
      <c r="X24" s="58" t="s">
        <v>306</v>
      </c>
      <c r="Y24" s="43">
        <v>0</v>
      </c>
      <c r="Z24" s="58" t="s">
        <v>306</v>
      </c>
      <c r="AA24" s="71">
        <f>19000/10000</f>
        <v>1.9</v>
      </c>
      <c r="AB24" s="72" t="s">
        <v>1225</v>
      </c>
      <c r="AC24" s="71">
        <v>0</v>
      </c>
      <c r="AD24" s="72" t="s">
        <v>306</v>
      </c>
      <c r="AE24" s="71">
        <v>0</v>
      </c>
      <c r="AF24" s="72" t="s">
        <v>306</v>
      </c>
      <c r="AG24" s="71">
        <v>0</v>
      </c>
      <c r="AH24" s="72" t="s">
        <v>306</v>
      </c>
      <c r="AI24" s="71">
        <v>0</v>
      </c>
      <c r="AJ24" s="72" t="s">
        <v>306</v>
      </c>
      <c r="AK24" s="71">
        <v>0</v>
      </c>
      <c r="AL24" s="72" t="s">
        <v>306</v>
      </c>
      <c r="AM24" s="74">
        <v>0</v>
      </c>
      <c r="AN24" s="77">
        <v>134364</v>
      </c>
      <c r="AO24" s="255"/>
      <c r="AP24" s="255"/>
      <c r="AQ24" s="274"/>
      <c r="AR24" s="267" t="s">
        <v>1170</v>
      </c>
      <c r="AS24" s="340" t="s">
        <v>1327</v>
      </c>
      <c r="AT24" s="30">
        <f t="shared" si="2"/>
        <v>0.21233201581027669</v>
      </c>
      <c r="AU24" s="30">
        <f t="shared" si="1"/>
        <v>1.1678260869565218</v>
      </c>
      <c r="AV24" s="1"/>
      <c r="AW24" s="31" t="str">
        <f t="shared" si="3"/>
        <v>n/a</v>
      </c>
      <c r="AX24" s="31">
        <f t="shared" si="4"/>
        <v>0.43565217391304351</v>
      </c>
      <c r="AY24" s="31">
        <f t="shared" si="5"/>
        <v>0</v>
      </c>
      <c r="AZ24" s="31">
        <f t="shared" si="6"/>
        <v>0</v>
      </c>
      <c r="BA24" s="31">
        <f t="shared" si="7"/>
        <v>0</v>
      </c>
      <c r="BB24" s="31">
        <f t="shared" si="8"/>
        <v>0</v>
      </c>
      <c r="BC24" s="31">
        <f t="shared" si="9"/>
        <v>1.9</v>
      </c>
      <c r="BD24" s="31">
        <f t="shared" si="10"/>
        <v>0</v>
      </c>
      <c r="BE24" s="31">
        <f t="shared" si="11"/>
        <v>0</v>
      </c>
      <c r="BF24" s="31">
        <f t="shared" si="12"/>
        <v>0</v>
      </c>
      <c r="BG24" s="31">
        <f t="shared" si="13"/>
        <v>0</v>
      </c>
      <c r="BH24" s="31">
        <f t="shared" si="14"/>
        <v>0</v>
      </c>
    </row>
    <row r="25" spans="1:60" ht="155.25" customHeight="1" x14ac:dyDescent="0.2">
      <c r="A25" s="17" t="s">
        <v>146</v>
      </c>
      <c r="B25" s="276"/>
      <c r="C25" s="55" t="s">
        <v>245</v>
      </c>
      <c r="D25" s="324"/>
      <c r="E25" s="42" t="s">
        <v>274</v>
      </c>
      <c r="F25" s="73" t="s">
        <v>307</v>
      </c>
      <c r="G25" s="42" t="s">
        <v>308</v>
      </c>
      <c r="H25" s="42" t="s">
        <v>309</v>
      </c>
      <c r="I25" s="23" t="s">
        <v>62</v>
      </c>
      <c r="J25" s="23" t="s">
        <v>1233</v>
      </c>
      <c r="K25" s="23" t="s">
        <v>310</v>
      </c>
      <c r="L25" s="70" t="s">
        <v>252</v>
      </c>
      <c r="M25" s="23" t="s">
        <v>51</v>
      </c>
      <c r="N25" s="23" t="s">
        <v>51</v>
      </c>
      <c r="O25" s="71">
        <f>16190/21329</f>
        <v>0.75906043415068691</v>
      </c>
      <c r="P25" s="72" t="s">
        <v>311</v>
      </c>
      <c r="Q25" s="71">
        <v>1.0371743274729901</v>
      </c>
      <c r="R25" s="72" t="s">
        <v>312</v>
      </c>
      <c r="S25" s="71">
        <f>10874/31375</f>
        <v>0.34658167330677292</v>
      </c>
      <c r="T25" s="72" t="s">
        <v>313</v>
      </c>
      <c r="U25" s="43">
        <f>22335/31998</f>
        <v>0.69801237577348585</v>
      </c>
      <c r="V25" s="58" t="s">
        <v>314</v>
      </c>
      <c r="W25" s="43">
        <f>40543/32675</f>
        <v>1.2407957153787299</v>
      </c>
      <c r="X25" s="58" t="s">
        <v>315</v>
      </c>
      <c r="Y25" s="43">
        <f>14686/34625</f>
        <v>0.42414440433212997</v>
      </c>
      <c r="Z25" s="58" t="s">
        <v>316</v>
      </c>
      <c r="AA25" s="131">
        <f>35129/42256</f>
        <v>0.8313375615297236</v>
      </c>
      <c r="AB25" s="72" t="s">
        <v>1226</v>
      </c>
      <c r="AC25" s="131">
        <f>34956/46907</f>
        <v>0.74521926364934876</v>
      </c>
      <c r="AD25" s="72" t="s">
        <v>1227</v>
      </c>
      <c r="AE25" s="131">
        <f>9584/47943</f>
        <v>0.19990405272928269</v>
      </c>
      <c r="AF25" s="72" t="s">
        <v>1228</v>
      </c>
      <c r="AG25" s="131">
        <f>101139/50724</f>
        <v>1.9939082091317719</v>
      </c>
      <c r="AH25" s="72" t="s">
        <v>1229</v>
      </c>
      <c r="AI25" s="131">
        <f>60776/51112</f>
        <v>1.1890749726091721</v>
      </c>
      <c r="AJ25" s="72" t="s">
        <v>1230</v>
      </c>
      <c r="AK25" s="131">
        <f>25528/23814</f>
        <v>1.0719744687998656</v>
      </c>
      <c r="AL25" s="72" t="s">
        <v>1230</v>
      </c>
      <c r="AM25" s="74">
        <v>0</v>
      </c>
      <c r="AN25" s="77">
        <v>443083</v>
      </c>
      <c r="AO25" s="255"/>
      <c r="AP25" s="255"/>
      <c r="AQ25" s="274"/>
      <c r="AR25" s="267" t="s">
        <v>1170</v>
      </c>
      <c r="AS25" s="340" t="s">
        <v>1327</v>
      </c>
      <c r="AT25" s="30">
        <f t="shared" si="2"/>
        <v>0.87809895490532996</v>
      </c>
      <c r="AU25" s="30">
        <f t="shared" si="1"/>
        <v>0.88892063861029758</v>
      </c>
      <c r="AV25" s="1"/>
      <c r="AW25" s="31">
        <f t="shared" si="3"/>
        <v>0.75906043415068691</v>
      </c>
      <c r="AX25" s="31">
        <f t="shared" si="4"/>
        <v>1.0371743274729901</v>
      </c>
      <c r="AY25" s="31">
        <f t="shared" si="5"/>
        <v>0.34658167330677292</v>
      </c>
      <c r="AZ25" s="31">
        <f t="shared" si="6"/>
        <v>0.69801237577348585</v>
      </c>
      <c r="BA25" s="31">
        <f t="shared" si="7"/>
        <v>1.2407957153787299</v>
      </c>
      <c r="BB25" s="31">
        <f t="shared" si="8"/>
        <v>0.42414440433212997</v>
      </c>
      <c r="BC25" s="31">
        <f t="shared" si="9"/>
        <v>0.8313375615297236</v>
      </c>
      <c r="BD25" s="31">
        <f t="shared" si="10"/>
        <v>0.74521926364934876</v>
      </c>
      <c r="BE25" s="31">
        <f t="shared" si="11"/>
        <v>0.19990405272928269</v>
      </c>
      <c r="BF25" s="31">
        <f t="shared" si="12"/>
        <v>1.9939082091317719</v>
      </c>
      <c r="BG25" s="31">
        <f t="shared" si="13"/>
        <v>1.1890749726091721</v>
      </c>
      <c r="BH25" s="31">
        <f t="shared" si="14"/>
        <v>1.0719744687998656</v>
      </c>
    </row>
    <row r="26" spans="1:60" ht="216" customHeight="1" x14ac:dyDescent="0.2">
      <c r="A26" s="78" t="s">
        <v>317</v>
      </c>
      <c r="B26" s="45" t="s">
        <v>318</v>
      </c>
      <c r="C26" s="79" t="s">
        <v>319</v>
      </c>
      <c r="D26" s="20" t="s">
        <v>320</v>
      </c>
      <c r="E26" s="20" t="s">
        <v>321</v>
      </c>
      <c r="F26" s="21" t="s">
        <v>322</v>
      </c>
      <c r="G26" s="293" t="s">
        <v>323</v>
      </c>
      <c r="H26" s="37" t="s">
        <v>324</v>
      </c>
      <c r="I26" s="24" t="s">
        <v>47</v>
      </c>
      <c r="J26" s="29" t="s">
        <v>325</v>
      </c>
      <c r="K26" s="29" t="s">
        <v>49</v>
      </c>
      <c r="L26" s="80" t="s">
        <v>326</v>
      </c>
      <c r="M26" s="286" t="s">
        <v>327</v>
      </c>
      <c r="N26" s="81" t="s">
        <v>327</v>
      </c>
      <c r="O26" s="40">
        <v>0</v>
      </c>
      <c r="P26" s="37"/>
      <c r="Q26" s="40">
        <v>0</v>
      </c>
      <c r="R26" s="37"/>
      <c r="S26" s="43">
        <v>0.24150190299526431</v>
      </c>
      <c r="T26" s="37" t="s">
        <v>328</v>
      </c>
      <c r="U26" s="39">
        <f>+'[3]INDICADORES CECO 2DO TRIM'!$D$34+'[3]INDICADORES CECO 2DO TRIM'!$D$35+'[3]INDICADORES CECO 2DO TRIM'!$D$36+'[3]INDICADORES CECO 2DO TRIM'!$D$37</f>
        <v>6.1003022837935461E-2</v>
      </c>
      <c r="V26" s="37" t="s">
        <v>329</v>
      </c>
      <c r="W26" s="39">
        <f>+'[3]INDICADORES CECO 2DO TRIM'!$F$34+'[3]INDICADORES CECO 2DO TRIM'!$F$35+'[3]INDICADORES CECO 2DO TRIM'!$F$36+'[3]INDICADORES CECO 2DO TRIM'!$F$37</f>
        <v>9.5840922354783503E-2</v>
      </c>
      <c r="X26" s="37" t="s">
        <v>330</v>
      </c>
      <c r="Y26" s="39">
        <f>+'[3]INDICADORES CECO 2DO TRIM'!$H$34+'[3]INDICADORES CECO 2DO TRIM'!$H$35+'[3]INDICADORES CECO 2DO TRIM'!$H$36+'[3]INDICADORES CECO 2DO TRIM'!$H$37</f>
        <v>0.78207147996678794</v>
      </c>
      <c r="Z26" s="37" t="s">
        <v>331</v>
      </c>
      <c r="AA26" s="82"/>
      <c r="AB26" s="82"/>
      <c r="AC26" s="82"/>
      <c r="AD26" s="82"/>
      <c r="AE26" s="82"/>
      <c r="AF26" s="82"/>
      <c r="AG26" s="82"/>
      <c r="AH26" s="82"/>
      <c r="AI26" s="82"/>
      <c r="AJ26" s="82"/>
      <c r="AK26" s="82"/>
      <c r="AL26" s="82"/>
      <c r="AM26" s="24" t="s">
        <v>259</v>
      </c>
      <c r="AN26" s="24" t="s">
        <v>58</v>
      </c>
      <c r="AO26" s="270"/>
      <c r="AP26" s="255"/>
      <c r="AQ26" s="255"/>
      <c r="AR26" s="253" t="s">
        <v>1353</v>
      </c>
      <c r="AS26" s="340" t="s">
        <v>1314</v>
      </c>
      <c r="AT26" s="30">
        <f t="shared" si="2"/>
        <v>0.19673622135912852</v>
      </c>
      <c r="AU26" s="30">
        <f t="shared" si="1"/>
        <v>0.2951043320386928</v>
      </c>
      <c r="AV26" s="1"/>
      <c r="AW26" s="31">
        <f t="shared" si="3"/>
        <v>0</v>
      </c>
      <c r="AX26" s="31">
        <f t="shared" si="4"/>
        <v>0</v>
      </c>
      <c r="AY26" s="31">
        <f t="shared" si="5"/>
        <v>0.24150190299526431</v>
      </c>
      <c r="AZ26" s="31">
        <f t="shared" si="6"/>
        <v>6.1003022837935461E-2</v>
      </c>
      <c r="BA26" s="31">
        <f t="shared" si="7"/>
        <v>9.5840922354783503E-2</v>
      </c>
      <c r="BB26" s="31">
        <f t="shared" si="8"/>
        <v>0.78207147996678794</v>
      </c>
      <c r="BC26" s="31">
        <f t="shared" si="9"/>
        <v>0</v>
      </c>
      <c r="BD26" s="31">
        <f t="shared" si="10"/>
        <v>0</v>
      </c>
      <c r="BE26" s="31">
        <f t="shared" si="11"/>
        <v>0</v>
      </c>
      <c r="BF26" s="31">
        <f t="shared" si="12"/>
        <v>0</v>
      </c>
      <c r="BG26" s="31">
        <f t="shared" si="13"/>
        <v>0</v>
      </c>
      <c r="BH26" s="31">
        <f t="shared" si="14"/>
        <v>0</v>
      </c>
    </row>
    <row r="27" spans="1:60" ht="134.25" customHeight="1" x14ac:dyDescent="0.2">
      <c r="A27" s="83" t="s">
        <v>317</v>
      </c>
      <c r="B27" s="84"/>
      <c r="C27" s="85" t="s">
        <v>319</v>
      </c>
      <c r="D27" s="403"/>
      <c r="E27" s="86" t="s">
        <v>321</v>
      </c>
      <c r="F27" s="21" t="s">
        <v>332</v>
      </c>
      <c r="G27" s="87" t="s">
        <v>333</v>
      </c>
      <c r="H27" s="87" t="s">
        <v>334</v>
      </c>
      <c r="I27" s="287" t="s">
        <v>47</v>
      </c>
      <c r="J27" s="278" t="s">
        <v>335</v>
      </c>
      <c r="K27" s="62" t="s">
        <v>49</v>
      </c>
      <c r="L27" s="87" t="s">
        <v>326</v>
      </c>
      <c r="M27" s="286" t="s">
        <v>327</v>
      </c>
      <c r="N27" s="81" t="s">
        <v>327</v>
      </c>
      <c r="O27" s="71">
        <v>0</v>
      </c>
      <c r="P27" s="87"/>
      <c r="Q27" s="71">
        <v>0</v>
      </c>
      <c r="R27" s="87"/>
      <c r="S27" s="43">
        <v>0.28735150581581348</v>
      </c>
      <c r="T27" s="87" t="s">
        <v>336</v>
      </c>
      <c r="U27" s="71">
        <v>0</v>
      </c>
      <c r="V27" s="81"/>
      <c r="W27" s="71">
        <v>0</v>
      </c>
      <c r="X27" s="81"/>
      <c r="Y27" s="88">
        <v>0.5356150903946435</v>
      </c>
      <c r="Z27" s="89" t="s">
        <v>337</v>
      </c>
      <c r="AA27" s="81"/>
      <c r="AB27" s="81"/>
      <c r="AC27" s="81"/>
      <c r="AD27" s="81"/>
      <c r="AE27" s="81"/>
      <c r="AF27" s="81"/>
      <c r="AG27" s="81"/>
      <c r="AH27" s="81"/>
      <c r="AI27" s="81"/>
      <c r="AJ27" s="81"/>
      <c r="AK27" s="81"/>
      <c r="AL27" s="81"/>
      <c r="AM27" s="90">
        <v>1.0832143925031423</v>
      </c>
      <c r="AN27" s="91" t="s">
        <v>338</v>
      </c>
      <c r="AO27" s="270"/>
      <c r="AP27" s="255"/>
      <c r="AQ27" s="255"/>
      <c r="AR27" s="253" t="s">
        <v>1353</v>
      </c>
      <c r="AS27" s="340" t="str">
        <f t="shared" ref="AS27:AS59" si="17">IF($AK27&gt;=25%,"RESULTADOS FAVORABLES",IF($AK27&lt;12.5%,"ACCIÓN CORRECTIVA",IF($AK27&lt;24%,"OPORTUNIDAD DE MEJORA")))</f>
        <v>ACCIÓN CORRECTIVA</v>
      </c>
      <c r="AT27" s="30">
        <f t="shared" si="2"/>
        <v>0.13716109936840951</v>
      </c>
      <c r="AU27" s="30">
        <f t="shared" si="1"/>
        <v>0.41148329810522849</v>
      </c>
      <c r="AV27" s="1"/>
      <c r="AW27" s="31">
        <f t="shared" si="3"/>
        <v>0</v>
      </c>
      <c r="AX27" s="31">
        <f t="shared" si="4"/>
        <v>0</v>
      </c>
      <c r="AY27" s="31">
        <f t="shared" si="5"/>
        <v>0.28735150581581348</v>
      </c>
      <c r="AZ27" s="31">
        <f t="shared" si="6"/>
        <v>0</v>
      </c>
      <c r="BA27" s="31">
        <f t="shared" si="7"/>
        <v>0</v>
      </c>
      <c r="BB27" s="31">
        <f t="shared" si="8"/>
        <v>0.5356150903946435</v>
      </c>
      <c r="BC27" s="31">
        <f t="shared" si="9"/>
        <v>0</v>
      </c>
      <c r="BD27" s="31">
        <f t="shared" si="10"/>
        <v>0</v>
      </c>
      <c r="BE27" s="31">
        <f t="shared" si="11"/>
        <v>0</v>
      </c>
      <c r="BF27" s="31">
        <f t="shared" si="12"/>
        <v>0</v>
      </c>
      <c r="BG27" s="31">
        <f t="shared" si="13"/>
        <v>0</v>
      </c>
      <c r="BH27" s="31">
        <f t="shared" si="14"/>
        <v>0</v>
      </c>
    </row>
    <row r="28" spans="1:60" ht="130.5" customHeight="1" x14ac:dyDescent="0.2">
      <c r="A28" s="83" t="s">
        <v>317</v>
      </c>
      <c r="B28" s="84"/>
      <c r="C28" s="85" t="s">
        <v>319</v>
      </c>
      <c r="D28" s="404"/>
      <c r="E28" s="86" t="s">
        <v>321</v>
      </c>
      <c r="F28" s="21" t="s">
        <v>339</v>
      </c>
      <c r="G28" s="87" t="s">
        <v>340</v>
      </c>
      <c r="H28" s="92" t="s">
        <v>341</v>
      </c>
      <c r="I28" s="278" t="s">
        <v>47</v>
      </c>
      <c r="J28" s="278" t="s">
        <v>342</v>
      </c>
      <c r="K28" s="62" t="s">
        <v>49</v>
      </c>
      <c r="L28" s="87" t="s">
        <v>326</v>
      </c>
      <c r="M28" s="286" t="s">
        <v>327</v>
      </c>
      <c r="N28" s="81" t="s">
        <v>327</v>
      </c>
      <c r="O28" s="71">
        <v>0</v>
      </c>
      <c r="P28" s="87"/>
      <c r="Q28" s="71">
        <v>0</v>
      </c>
      <c r="R28" s="87"/>
      <c r="S28" s="43">
        <v>0.52357687611661463</v>
      </c>
      <c r="T28" s="87" t="s">
        <v>343</v>
      </c>
      <c r="U28" s="71">
        <v>0</v>
      </c>
      <c r="V28" s="81"/>
      <c r="W28" s="71">
        <v>0</v>
      </c>
      <c r="X28" s="81"/>
      <c r="Y28" s="88">
        <v>0.62734706125266193</v>
      </c>
      <c r="Z28" s="87" t="s">
        <v>344</v>
      </c>
      <c r="AA28" s="81"/>
      <c r="AB28" s="81"/>
      <c r="AC28" s="81"/>
      <c r="AD28" s="81"/>
      <c r="AE28" s="81"/>
      <c r="AF28" s="81"/>
      <c r="AG28" s="81"/>
      <c r="AH28" s="81"/>
      <c r="AI28" s="81"/>
      <c r="AJ28" s="81"/>
      <c r="AK28" s="81"/>
      <c r="AL28" s="81"/>
      <c r="AM28" s="90">
        <v>0.74755726025117009</v>
      </c>
      <c r="AN28" s="91" t="s">
        <v>345</v>
      </c>
      <c r="AO28" s="270"/>
      <c r="AP28" s="255"/>
      <c r="AQ28" s="255"/>
      <c r="AR28" s="253" t="s">
        <v>1353</v>
      </c>
      <c r="AS28" s="340" t="str">
        <f t="shared" si="17"/>
        <v>ACCIÓN CORRECTIVA</v>
      </c>
      <c r="AT28" s="30">
        <f t="shared" si="2"/>
        <v>0.19182065622821276</v>
      </c>
      <c r="AU28" s="30">
        <f t="shared" si="1"/>
        <v>0.57546196868463828</v>
      </c>
      <c r="AV28" s="1"/>
      <c r="AW28" s="31">
        <f t="shared" si="3"/>
        <v>0</v>
      </c>
      <c r="AX28" s="31">
        <f t="shared" si="4"/>
        <v>0</v>
      </c>
      <c r="AY28" s="31">
        <f t="shared" si="5"/>
        <v>0.52357687611661463</v>
      </c>
      <c r="AZ28" s="31">
        <f t="shared" si="6"/>
        <v>0</v>
      </c>
      <c r="BA28" s="31">
        <f t="shared" si="7"/>
        <v>0</v>
      </c>
      <c r="BB28" s="31">
        <f t="shared" si="8"/>
        <v>0.62734706125266193</v>
      </c>
      <c r="BC28" s="31">
        <f t="shared" si="9"/>
        <v>0</v>
      </c>
      <c r="BD28" s="31">
        <f t="shared" si="10"/>
        <v>0</v>
      </c>
      <c r="BE28" s="31">
        <f t="shared" si="11"/>
        <v>0</v>
      </c>
      <c r="BF28" s="31">
        <f t="shared" si="12"/>
        <v>0</v>
      </c>
      <c r="BG28" s="31">
        <f t="shared" si="13"/>
        <v>0</v>
      </c>
      <c r="BH28" s="31">
        <f t="shared" si="14"/>
        <v>0</v>
      </c>
    </row>
    <row r="29" spans="1:60" ht="146.25" customHeight="1" x14ac:dyDescent="0.2">
      <c r="A29" s="83" t="s">
        <v>317</v>
      </c>
      <c r="B29" s="84"/>
      <c r="C29" s="85" t="s">
        <v>319</v>
      </c>
      <c r="D29" s="405"/>
      <c r="E29" s="86" t="s">
        <v>321</v>
      </c>
      <c r="F29" s="21" t="s">
        <v>346</v>
      </c>
      <c r="G29" s="87" t="s">
        <v>347</v>
      </c>
      <c r="H29" s="87" t="s">
        <v>348</v>
      </c>
      <c r="I29" s="278" t="s">
        <v>47</v>
      </c>
      <c r="J29" s="278" t="s">
        <v>349</v>
      </c>
      <c r="K29" s="62" t="s">
        <v>49</v>
      </c>
      <c r="L29" s="87" t="s">
        <v>326</v>
      </c>
      <c r="M29" s="286" t="s">
        <v>327</v>
      </c>
      <c r="N29" s="81" t="s">
        <v>327</v>
      </c>
      <c r="O29" s="71">
        <v>0</v>
      </c>
      <c r="P29" s="87"/>
      <c r="Q29" s="71">
        <v>0</v>
      </c>
      <c r="R29" s="87"/>
      <c r="S29" s="43">
        <v>0.15045060376244881</v>
      </c>
      <c r="T29" s="87" t="s">
        <v>350</v>
      </c>
      <c r="U29" s="71">
        <v>0</v>
      </c>
      <c r="V29" s="81"/>
      <c r="W29" s="71">
        <v>0</v>
      </c>
      <c r="X29" s="81"/>
      <c r="Y29" s="88">
        <v>0.3360165529216585</v>
      </c>
      <c r="Z29" s="93" t="s">
        <v>351</v>
      </c>
      <c r="AA29" s="81"/>
      <c r="AB29" s="81"/>
      <c r="AC29" s="81"/>
      <c r="AD29" s="81"/>
      <c r="AE29" s="81"/>
      <c r="AF29" s="81"/>
      <c r="AG29" s="81"/>
      <c r="AH29" s="81"/>
      <c r="AI29" s="81"/>
      <c r="AJ29" s="81"/>
      <c r="AK29" s="81"/>
      <c r="AL29" s="81"/>
      <c r="AM29" s="90">
        <v>0.8097647835242846</v>
      </c>
      <c r="AN29" s="91" t="s">
        <v>352</v>
      </c>
      <c r="AO29" s="270"/>
      <c r="AP29" s="255"/>
      <c r="AQ29" s="255"/>
      <c r="AR29" s="253" t="s">
        <v>1353</v>
      </c>
      <c r="AS29" s="340" t="str">
        <f t="shared" si="17"/>
        <v>ACCIÓN CORRECTIVA</v>
      </c>
      <c r="AT29" s="30">
        <f t="shared" si="2"/>
        <v>8.1077859447351228E-2</v>
      </c>
      <c r="AU29" s="30">
        <f t="shared" si="1"/>
        <v>0.24323357834205367</v>
      </c>
      <c r="AV29" s="1"/>
      <c r="AW29" s="31">
        <f t="shared" si="3"/>
        <v>0</v>
      </c>
      <c r="AX29" s="31">
        <f t="shared" si="4"/>
        <v>0</v>
      </c>
      <c r="AY29" s="31">
        <f t="shared" si="5"/>
        <v>0.15045060376244881</v>
      </c>
      <c r="AZ29" s="31">
        <f t="shared" si="6"/>
        <v>0</v>
      </c>
      <c r="BA29" s="31">
        <f t="shared" si="7"/>
        <v>0</v>
      </c>
      <c r="BB29" s="31">
        <f t="shared" si="8"/>
        <v>0.3360165529216585</v>
      </c>
      <c r="BC29" s="31">
        <f t="shared" si="9"/>
        <v>0</v>
      </c>
      <c r="BD29" s="31">
        <f t="shared" si="10"/>
        <v>0</v>
      </c>
      <c r="BE29" s="31">
        <f t="shared" si="11"/>
        <v>0</v>
      </c>
      <c r="BF29" s="31">
        <f t="shared" si="12"/>
        <v>0</v>
      </c>
      <c r="BG29" s="31">
        <f t="shared" si="13"/>
        <v>0</v>
      </c>
      <c r="BH29" s="31">
        <f t="shared" si="14"/>
        <v>0</v>
      </c>
    </row>
    <row r="30" spans="1:60" ht="148.5" customHeight="1" x14ac:dyDescent="0.2">
      <c r="A30" s="78" t="s">
        <v>317</v>
      </c>
      <c r="B30" s="20"/>
      <c r="C30" s="79" t="s">
        <v>319</v>
      </c>
      <c r="D30" s="20" t="s">
        <v>353</v>
      </c>
      <c r="E30" s="20" t="s">
        <v>354</v>
      </c>
      <c r="F30" s="21" t="s">
        <v>355</v>
      </c>
      <c r="G30" s="37" t="s">
        <v>356</v>
      </c>
      <c r="H30" s="37" t="s">
        <v>357</v>
      </c>
      <c r="I30" s="157" t="s">
        <v>358</v>
      </c>
      <c r="J30" s="29" t="s">
        <v>359</v>
      </c>
      <c r="K30" s="29" t="s">
        <v>360</v>
      </c>
      <c r="L30" s="80" t="s">
        <v>326</v>
      </c>
      <c r="M30" s="21" t="s">
        <v>361</v>
      </c>
      <c r="N30" s="82" t="s">
        <v>327</v>
      </c>
      <c r="O30" s="94">
        <v>3.3890874941284985</v>
      </c>
      <c r="P30" s="80" t="s">
        <v>362</v>
      </c>
      <c r="Q30" s="94">
        <v>2.8818986340663302</v>
      </c>
      <c r="R30" s="80" t="s">
        <v>363</v>
      </c>
      <c r="S30" s="94">
        <v>3.3252425815582218</v>
      </c>
      <c r="T30" s="80" t="s">
        <v>364</v>
      </c>
      <c r="U30" s="95">
        <v>3.3925613733195088</v>
      </c>
      <c r="V30" s="96" t="s">
        <v>365</v>
      </c>
      <c r="W30" s="97">
        <v>4.7365348744366687</v>
      </c>
      <c r="X30" s="96" t="s">
        <v>366</v>
      </c>
      <c r="Y30" s="97">
        <v>5.4617566094170495</v>
      </c>
      <c r="Z30" s="96" t="s">
        <v>367</v>
      </c>
      <c r="AA30" s="82"/>
      <c r="AB30" s="82"/>
      <c r="AC30" s="82"/>
      <c r="AD30" s="82"/>
      <c r="AE30" s="82"/>
      <c r="AF30" s="82"/>
      <c r="AG30" s="82"/>
      <c r="AH30" s="82"/>
      <c r="AI30" s="82"/>
      <c r="AJ30" s="82"/>
      <c r="AK30" s="82"/>
      <c r="AL30" s="82"/>
      <c r="AM30" s="98">
        <v>2.3070024902270974</v>
      </c>
      <c r="AN30" s="99" t="s">
        <v>368</v>
      </c>
      <c r="AO30" s="270"/>
      <c r="AP30" s="255"/>
      <c r="AQ30" s="255"/>
      <c r="AR30" s="253" t="s">
        <v>1353</v>
      </c>
      <c r="AS30" s="340" t="str">
        <f t="shared" si="17"/>
        <v>ACCIÓN CORRECTIVA</v>
      </c>
      <c r="AT30" s="30">
        <f t="shared" si="2"/>
        <v>3.8645135944877134</v>
      </c>
      <c r="AU30" s="30">
        <f t="shared" si="1"/>
        <v>3.9595988145595555</v>
      </c>
      <c r="AV30" s="1"/>
      <c r="AW30" s="31">
        <f t="shared" si="3"/>
        <v>3.3890874941284985</v>
      </c>
      <c r="AX30" s="31">
        <f t="shared" si="4"/>
        <v>2.8818986340663302</v>
      </c>
      <c r="AY30" s="31">
        <f t="shared" si="5"/>
        <v>3.3252425815582218</v>
      </c>
      <c r="AZ30" s="31">
        <f t="shared" si="6"/>
        <v>3.3925613733195088</v>
      </c>
      <c r="BA30" s="31">
        <f t="shared" si="7"/>
        <v>4.7365348744366687</v>
      </c>
      <c r="BB30" s="31">
        <f t="shared" si="8"/>
        <v>5.4617566094170495</v>
      </c>
      <c r="BC30" s="31">
        <f t="shared" si="9"/>
        <v>0</v>
      </c>
      <c r="BD30" s="31">
        <f t="shared" si="10"/>
        <v>0</v>
      </c>
      <c r="BE30" s="31">
        <f t="shared" si="11"/>
        <v>0</v>
      </c>
      <c r="BF30" s="31">
        <f t="shared" si="12"/>
        <v>0</v>
      </c>
      <c r="BG30" s="31">
        <f t="shared" si="13"/>
        <v>0</v>
      </c>
      <c r="BH30" s="31">
        <f t="shared" si="14"/>
        <v>0</v>
      </c>
    </row>
    <row r="31" spans="1:60" ht="130.5" customHeight="1" x14ac:dyDescent="0.2">
      <c r="A31" s="78" t="s">
        <v>317</v>
      </c>
      <c r="B31" s="20"/>
      <c r="C31" s="79" t="s">
        <v>319</v>
      </c>
      <c r="D31" s="100" t="s">
        <v>369</v>
      </c>
      <c r="E31" s="20" t="s">
        <v>354</v>
      </c>
      <c r="F31" s="21" t="s">
        <v>370</v>
      </c>
      <c r="G31" s="37" t="s">
        <v>371</v>
      </c>
      <c r="H31" s="37" t="s">
        <v>372</v>
      </c>
      <c r="I31" s="157" t="s">
        <v>358</v>
      </c>
      <c r="J31" s="29" t="s">
        <v>373</v>
      </c>
      <c r="K31" s="29" t="s">
        <v>360</v>
      </c>
      <c r="L31" s="80" t="s">
        <v>326</v>
      </c>
      <c r="M31" s="21" t="s">
        <v>361</v>
      </c>
      <c r="N31" s="82" t="s">
        <v>327</v>
      </c>
      <c r="O31" s="94">
        <v>2.2417508402149968</v>
      </c>
      <c r="P31" s="80" t="s">
        <v>374</v>
      </c>
      <c r="Q31" s="94">
        <v>2.1567510253014439</v>
      </c>
      <c r="R31" s="80" t="s">
        <v>374</v>
      </c>
      <c r="S31" s="94">
        <v>2.391667486866611</v>
      </c>
      <c r="T31" s="80" t="s">
        <v>375</v>
      </c>
      <c r="U31" s="95">
        <v>2.3909410888953166</v>
      </c>
      <c r="V31" s="96" t="s">
        <v>376</v>
      </c>
      <c r="W31" s="97">
        <v>3.3919804995576359</v>
      </c>
      <c r="X31" s="96" t="s">
        <v>377</v>
      </c>
      <c r="Y31" s="97">
        <v>3.861770773751986</v>
      </c>
      <c r="Z31" s="96" t="s">
        <v>378</v>
      </c>
      <c r="AA31" s="82"/>
      <c r="AB31" s="82"/>
      <c r="AC31" s="82"/>
      <c r="AD31" s="82"/>
      <c r="AE31" s="82"/>
      <c r="AF31" s="82"/>
      <c r="AG31" s="82"/>
      <c r="AH31" s="82"/>
      <c r="AI31" s="82"/>
      <c r="AJ31" s="82"/>
      <c r="AK31" s="82"/>
      <c r="AL31" s="82"/>
      <c r="AM31" s="98">
        <v>1.7474890610561113</v>
      </c>
      <c r="AN31" s="99" t="s">
        <v>379</v>
      </c>
      <c r="AO31" s="270"/>
      <c r="AP31" s="255"/>
      <c r="AQ31" s="255"/>
      <c r="AR31" s="253" t="s">
        <v>1353</v>
      </c>
      <c r="AS31" s="340" t="str">
        <f t="shared" si="17"/>
        <v>ACCIÓN CORRECTIVA</v>
      </c>
      <c r="AT31" s="30">
        <f t="shared" si="2"/>
        <v>2.7391436190979981</v>
      </c>
      <c r="AU31" s="30">
        <f t="shared" si="1"/>
        <v>2.8386221748745988</v>
      </c>
      <c r="AV31" s="1"/>
      <c r="AW31" s="31">
        <f t="shared" si="3"/>
        <v>2.2417508402149968</v>
      </c>
      <c r="AX31" s="31">
        <f t="shared" si="4"/>
        <v>2.1567510253014439</v>
      </c>
      <c r="AY31" s="31">
        <f t="shared" si="5"/>
        <v>2.391667486866611</v>
      </c>
      <c r="AZ31" s="31">
        <f t="shared" si="6"/>
        <v>2.3909410888953166</v>
      </c>
      <c r="BA31" s="31">
        <f t="shared" si="7"/>
        <v>3.3919804995576359</v>
      </c>
      <c r="BB31" s="31">
        <f t="shared" si="8"/>
        <v>3.861770773751986</v>
      </c>
      <c r="BC31" s="31">
        <f t="shared" si="9"/>
        <v>0</v>
      </c>
      <c r="BD31" s="31">
        <f t="shared" si="10"/>
        <v>0</v>
      </c>
      <c r="BE31" s="31">
        <f t="shared" si="11"/>
        <v>0</v>
      </c>
      <c r="BF31" s="31">
        <f t="shared" si="12"/>
        <v>0</v>
      </c>
      <c r="BG31" s="31">
        <f t="shared" si="13"/>
        <v>0</v>
      </c>
      <c r="BH31" s="31">
        <f t="shared" si="14"/>
        <v>0</v>
      </c>
    </row>
    <row r="32" spans="1:60" ht="149.25" customHeight="1" x14ac:dyDescent="0.2">
      <c r="A32" s="78" t="s">
        <v>317</v>
      </c>
      <c r="B32" s="20"/>
      <c r="C32" s="79" t="s">
        <v>319</v>
      </c>
      <c r="D32" s="100"/>
      <c r="E32" s="20" t="s">
        <v>354</v>
      </c>
      <c r="F32" s="21" t="s">
        <v>380</v>
      </c>
      <c r="G32" s="37" t="s">
        <v>381</v>
      </c>
      <c r="H32" s="37" t="s">
        <v>382</v>
      </c>
      <c r="I32" s="128" t="s">
        <v>383</v>
      </c>
      <c r="J32" s="29" t="s">
        <v>384</v>
      </c>
      <c r="K32" s="29" t="s">
        <v>385</v>
      </c>
      <c r="L32" s="37" t="s">
        <v>326</v>
      </c>
      <c r="M32" s="21" t="s">
        <v>361</v>
      </c>
      <c r="N32" s="82" t="s">
        <v>327</v>
      </c>
      <c r="O32" s="101">
        <v>2.0951118649552494</v>
      </c>
      <c r="P32" s="37" t="s">
        <v>386</v>
      </c>
      <c r="Q32" s="101">
        <v>2.0363739980352529</v>
      </c>
      <c r="R32" s="37" t="s">
        <v>387</v>
      </c>
      <c r="S32" s="43">
        <v>1.921615248045152</v>
      </c>
      <c r="T32" s="37" t="s">
        <v>388</v>
      </c>
      <c r="U32" s="102">
        <v>1.8813504868047077</v>
      </c>
      <c r="V32" s="37" t="s">
        <v>389</v>
      </c>
      <c r="W32" s="102">
        <v>1.6908528870015944</v>
      </c>
      <c r="X32" s="37" t="s">
        <v>390</v>
      </c>
      <c r="Y32" s="102">
        <v>1.6461992098625384</v>
      </c>
      <c r="Z32" s="37" t="s">
        <v>391</v>
      </c>
      <c r="AA32" s="37"/>
      <c r="AB32" s="37"/>
      <c r="AC32" s="37"/>
      <c r="AD32" s="37"/>
      <c r="AE32" s="37"/>
      <c r="AF32" s="37"/>
      <c r="AG32" s="37"/>
      <c r="AH32" s="37"/>
      <c r="AI32" s="37"/>
      <c r="AJ32" s="37"/>
      <c r="AK32" s="37"/>
      <c r="AL32" s="37"/>
      <c r="AM32" s="103">
        <v>2.2740633070499552</v>
      </c>
      <c r="AN32" s="99" t="s">
        <v>392</v>
      </c>
      <c r="AO32" s="270"/>
      <c r="AP32" s="255"/>
      <c r="AQ32" s="255"/>
      <c r="AR32" s="253" t="s">
        <v>1353</v>
      </c>
      <c r="AS32" s="340" t="str">
        <f t="shared" si="17"/>
        <v>ACCIÓN CORRECTIVA</v>
      </c>
      <c r="AT32" s="30">
        <f t="shared" si="2"/>
        <v>1.8785839491174157</v>
      </c>
      <c r="AU32" s="30">
        <f t="shared" si="1"/>
        <v>1.8352783659498493</v>
      </c>
      <c r="AV32" s="1"/>
      <c r="AW32" s="31">
        <f t="shared" si="3"/>
        <v>2.0951118649552494</v>
      </c>
      <c r="AX32" s="31">
        <f t="shared" si="4"/>
        <v>2.0363739980352529</v>
      </c>
      <c r="AY32" s="31">
        <f t="shared" si="5"/>
        <v>1.921615248045152</v>
      </c>
      <c r="AZ32" s="31">
        <f t="shared" si="6"/>
        <v>1.8813504868047077</v>
      </c>
      <c r="BA32" s="31">
        <f t="shared" si="7"/>
        <v>1.6908528870015944</v>
      </c>
      <c r="BB32" s="31">
        <f t="shared" si="8"/>
        <v>1.6461992098625384</v>
      </c>
      <c r="BC32" s="31">
        <f t="shared" si="9"/>
        <v>0</v>
      </c>
      <c r="BD32" s="31">
        <f t="shared" si="10"/>
        <v>0</v>
      </c>
      <c r="BE32" s="31">
        <f t="shared" si="11"/>
        <v>0</v>
      </c>
      <c r="BF32" s="31">
        <f t="shared" si="12"/>
        <v>0</v>
      </c>
      <c r="BG32" s="31">
        <f t="shared" si="13"/>
        <v>0</v>
      </c>
      <c r="BH32" s="31">
        <f t="shared" si="14"/>
        <v>0</v>
      </c>
    </row>
    <row r="33" spans="1:60" ht="134.25" customHeight="1" x14ac:dyDescent="0.2">
      <c r="A33" s="78" t="s">
        <v>317</v>
      </c>
      <c r="B33" s="20"/>
      <c r="C33" s="79" t="s">
        <v>319</v>
      </c>
      <c r="D33" s="100"/>
      <c r="E33" s="20" t="s">
        <v>354</v>
      </c>
      <c r="F33" s="21" t="s">
        <v>393</v>
      </c>
      <c r="G33" s="37" t="s">
        <v>383</v>
      </c>
      <c r="H33" s="37" t="s">
        <v>394</v>
      </c>
      <c r="I33" s="128" t="s">
        <v>383</v>
      </c>
      <c r="J33" s="29" t="s">
        <v>395</v>
      </c>
      <c r="K33" s="29" t="s">
        <v>385</v>
      </c>
      <c r="L33" s="37" t="s">
        <v>326</v>
      </c>
      <c r="M33" s="21" t="s">
        <v>361</v>
      </c>
      <c r="N33" s="82" t="s">
        <v>327</v>
      </c>
      <c r="O33" s="101">
        <v>0.6769099006347844</v>
      </c>
      <c r="P33" s="37" t="s">
        <v>396</v>
      </c>
      <c r="Q33" s="101">
        <v>0.6706598065200442</v>
      </c>
      <c r="R33" s="37" t="s">
        <v>397</v>
      </c>
      <c r="S33" s="43">
        <v>0.6577235826417942</v>
      </c>
      <c r="T33" s="37" t="s">
        <v>398</v>
      </c>
      <c r="U33" s="102">
        <v>0.65294052057201957</v>
      </c>
      <c r="V33" s="37" t="s">
        <v>399</v>
      </c>
      <c r="W33" s="102">
        <v>0.62837061630883295</v>
      </c>
      <c r="X33" s="37" t="s">
        <v>400</v>
      </c>
      <c r="Y33" s="102">
        <v>0.62209950170306827</v>
      </c>
      <c r="Z33" s="37" t="s">
        <v>401</v>
      </c>
      <c r="AA33" s="37"/>
      <c r="AB33" s="37"/>
      <c r="AC33" s="37"/>
      <c r="AD33" s="37"/>
      <c r="AE33" s="37"/>
      <c r="AF33" s="37"/>
      <c r="AG33" s="37"/>
      <c r="AH33" s="37"/>
      <c r="AI33" s="37"/>
      <c r="AJ33" s="37"/>
      <c r="AK33" s="37"/>
      <c r="AL33" s="37"/>
      <c r="AM33" s="103">
        <v>0.69456913131880638</v>
      </c>
      <c r="AN33" s="99" t="s">
        <v>402</v>
      </c>
      <c r="AO33" s="270"/>
      <c r="AP33" s="255"/>
      <c r="AQ33" s="255"/>
      <c r="AR33" s="253" t="s">
        <v>1353</v>
      </c>
      <c r="AS33" s="340" t="str">
        <f t="shared" si="17"/>
        <v>ACCIÓN CORRECTIVA</v>
      </c>
      <c r="AT33" s="30">
        <f t="shared" si="2"/>
        <v>0.65145065473009056</v>
      </c>
      <c r="AU33" s="30">
        <f t="shared" si="1"/>
        <v>0.64635880554915182</v>
      </c>
      <c r="AV33" s="1"/>
      <c r="AW33" s="31">
        <f t="shared" si="3"/>
        <v>0.6769099006347844</v>
      </c>
      <c r="AX33" s="31">
        <f t="shared" si="4"/>
        <v>0.6706598065200442</v>
      </c>
      <c r="AY33" s="31">
        <f t="shared" si="5"/>
        <v>0.6577235826417942</v>
      </c>
      <c r="AZ33" s="31">
        <f t="shared" si="6"/>
        <v>0.65294052057201957</v>
      </c>
      <c r="BA33" s="31">
        <f t="shared" si="7"/>
        <v>0.62837061630883295</v>
      </c>
      <c r="BB33" s="31">
        <f t="shared" si="8"/>
        <v>0.62209950170306827</v>
      </c>
      <c r="BC33" s="31">
        <f t="shared" si="9"/>
        <v>0</v>
      </c>
      <c r="BD33" s="31">
        <f t="shared" si="10"/>
        <v>0</v>
      </c>
      <c r="BE33" s="31">
        <f t="shared" si="11"/>
        <v>0</v>
      </c>
      <c r="BF33" s="31">
        <f t="shared" si="12"/>
        <v>0</v>
      </c>
      <c r="BG33" s="31">
        <f t="shared" si="13"/>
        <v>0</v>
      </c>
      <c r="BH33" s="31">
        <f t="shared" si="14"/>
        <v>0</v>
      </c>
    </row>
    <row r="34" spans="1:60" ht="141" customHeight="1" x14ac:dyDescent="0.2">
      <c r="A34" s="78" t="s">
        <v>317</v>
      </c>
      <c r="B34" s="20"/>
      <c r="C34" s="79" t="s">
        <v>319</v>
      </c>
      <c r="D34" s="20" t="s">
        <v>403</v>
      </c>
      <c r="E34" s="20" t="s">
        <v>404</v>
      </c>
      <c r="F34" s="21" t="s">
        <v>405</v>
      </c>
      <c r="G34" s="37" t="s">
        <v>406</v>
      </c>
      <c r="H34" s="37" t="s">
        <v>407</v>
      </c>
      <c r="I34" s="29" t="s">
        <v>47</v>
      </c>
      <c r="J34" s="29" t="s">
        <v>408</v>
      </c>
      <c r="K34" s="29" t="s">
        <v>409</v>
      </c>
      <c r="L34" s="37" t="s">
        <v>326</v>
      </c>
      <c r="M34" s="24" t="s">
        <v>410</v>
      </c>
      <c r="N34" s="104" t="s">
        <v>410</v>
      </c>
      <c r="O34" s="105">
        <v>1.5951775402525919E-3</v>
      </c>
      <c r="P34" s="37" t="s">
        <v>411</v>
      </c>
      <c r="Q34" s="105">
        <v>0.1293890656764462</v>
      </c>
      <c r="R34" s="37" t="s">
        <v>411</v>
      </c>
      <c r="S34" s="105">
        <v>0.18634534062385635</v>
      </c>
      <c r="T34" s="37" t="s">
        <v>411</v>
      </c>
      <c r="U34" s="106">
        <v>1.046054501218993</v>
      </c>
      <c r="V34" s="37" t="s">
        <v>412</v>
      </c>
      <c r="W34" s="106">
        <v>1.2082513678092894</v>
      </c>
      <c r="X34" s="37" t="s">
        <v>413</v>
      </c>
      <c r="Y34" s="106">
        <v>1.4254579736619672</v>
      </c>
      <c r="Z34" s="37" t="s">
        <v>414</v>
      </c>
      <c r="AA34" s="37"/>
      <c r="AB34" s="37"/>
      <c r="AC34" s="37"/>
      <c r="AD34" s="37"/>
      <c r="AE34" s="37"/>
      <c r="AF34" s="37"/>
      <c r="AG34" s="37"/>
      <c r="AH34" s="37"/>
      <c r="AI34" s="37"/>
      <c r="AJ34" s="37"/>
      <c r="AK34" s="37"/>
      <c r="AL34" s="37"/>
      <c r="AM34" s="98">
        <v>5.9399370190930583</v>
      </c>
      <c r="AN34" s="99" t="s">
        <v>415</v>
      </c>
      <c r="AO34" s="270"/>
      <c r="AP34" s="255"/>
      <c r="AQ34" s="255"/>
      <c r="AR34" s="253" t="s">
        <v>1353</v>
      </c>
      <c r="AS34" s="340" t="str">
        <f t="shared" si="17"/>
        <v>ACCIÓN CORRECTIVA</v>
      </c>
      <c r="AT34" s="30">
        <f t="shared" si="2"/>
        <v>0.66618223775513419</v>
      </c>
      <c r="AU34" s="30">
        <f t="shared" si="1"/>
        <v>0.79909964979811043</v>
      </c>
      <c r="AV34" s="1"/>
      <c r="AW34" s="31">
        <f t="shared" si="3"/>
        <v>1.5951775402525919E-3</v>
      </c>
      <c r="AX34" s="31">
        <f t="shared" si="4"/>
        <v>0.1293890656764462</v>
      </c>
      <c r="AY34" s="31">
        <f t="shared" si="5"/>
        <v>0.18634534062385635</v>
      </c>
      <c r="AZ34" s="31">
        <f t="shared" si="6"/>
        <v>1.046054501218993</v>
      </c>
      <c r="BA34" s="31">
        <f t="shared" si="7"/>
        <v>1.2082513678092894</v>
      </c>
      <c r="BB34" s="31">
        <f t="shared" si="8"/>
        <v>1.4254579736619672</v>
      </c>
      <c r="BC34" s="31">
        <f t="shared" si="9"/>
        <v>0</v>
      </c>
      <c r="BD34" s="31">
        <f t="shared" si="10"/>
        <v>0</v>
      </c>
      <c r="BE34" s="31">
        <f t="shared" si="11"/>
        <v>0</v>
      </c>
      <c r="BF34" s="31">
        <f t="shared" si="12"/>
        <v>0</v>
      </c>
      <c r="BG34" s="31">
        <f t="shared" si="13"/>
        <v>0</v>
      </c>
      <c r="BH34" s="31">
        <f t="shared" si="14"/>
        <v>0</v>
      </c>
    </row>
    <row r="35" spans="1:60" ht="145.5" customHeight="1" x14ac:dyDescent="0.2">
      <c r="A35" s="78" t="s">
        <v>317</v>
      </c>
      <c r="B35" s="20"/>
      <c r="C35" s="79" t="s">
        <v>319</v>
      </c>
      <c r="D35" s="100"/>
      <c r="E35" s="20" t="s">
        <v>404</v>
      </c>
      <c r="F35" s="21" t="s">
        <v>416</v>
      </c>
      <c r="G35" s="37" t="s">
        <v>417</v>
      </c>
      <c r="H35" s="37" t="s">
        <v>418</v>
      </c>
      <c r="I35" s="29" t="s">
        <v>47</v>
      </c>
      <c r="J35" s="29" t="s">
        <v>419</v>
      </c>
      <c r="K35" s="29" t="s">
        <v>420</v>
      </c>
      <c r="L35" s="37" t="s">
        <v>326</v>
      </c>
      <c r="M35" s="24" t="s">
        <v>410</v>
      </c>
      <c r="N35" s="104" t="s">
        <v>410</v>
      </c>
      <c r="O35" s="107">
        <v>228814.65591736152</v>
      </c>
      <c r="P35" s="37" t="s">
        <v>421</v>
      </c>
      <c r="Q35" s="108">
        <v>2820.9493444579693</v>
      </c>
      <c r="R35" s="37" t="s">
        <v>422</v>
      </c>
      <c r="S35" s="108">
        <v>1958.7288782109308</v>
      </c>
      <c r="T35" s="37" t="s">
        <v>423</v>
      </c>
      <c r="U35" s="108">
        <v>114.71677609547214</v>
      </c>
      <c r="V35" s="37" t="s">
        <v>424</v>
      </c>
      <c r="W35" s="108">
        <v>124.14635232068366</v>
      </c>
      <c r="X35" s="37" t="s">
        <v>425</v>
      </c>
      <c r="Y35" s="108">
        <v>126.27520651316314</v>
      </c>
      <c r="Z35" s="37" t="s">
        <v>426</v>
      </c>
      <c r="AA35" s="37"/>
      <c r="AB35" s="37"/>
      <c r="AC35" s="37"/>
      <c r="AD35" s="37"/>
      <c r="AE35" s="37"/>
      <c r="AF35" s="37"/>
      <c r="AG35" s="37"/>
      <c r="AH35" s="37"/>
      <c r="AI35" s="37"/>
      <c r="AJ35" s="37"/>
      <c r="AK35" s="37"/>
      <c r="AL35" s="37"/>
      <c r="AM35" s="98">
        <v>61.448462976418931</v>
      </c>
      <c r="AN35" s="99" t="s">
        <v>427</v>
      </c>
      <c r="AO35" s="270"/>
      <c r="AP35" s="255"/>
      <c r="AQ35" s="255"/>
      <c r="AR35" s="253" t="s">
        <v>1353</v>
      </c>
      <c r="AS35" s="340" t="str">
        <f t="shared" si="17"/>
        <v>ACCIÓN CORRECTIVA</v>
      </c>
      <c r="AT35" s="30">
        <f t="shared" si="2"/>
        <v>38993.245412493292</v>
      </c>
      <c r="AU35" s="30">
        <f t="shared" si="1"/>
        <v>1028.9633115196439</v>
      </c>
      <c r="AV35" s="1"/>
      <c r="AW35" s="31">
        <f t="shared" si="3"/>
        <v>228814.65591736152</v>
      </c>
      <c r="AX35" s="31">
        <f t="shared" si="4"/>
        <v>2820.9493444579693</v>
      </c>
      <c r="AY35" s="31">
        <f t="shared" si="5"/>
        <v>1958.7288782109308</v>
      </c>
      <c r="AZ35" s="31">
        <f t="shared" si="6"/>
        <v>114.71677609547214</v>
      </c>
      <c r="BA35" s="31">
        <f t="shared" si="7"/>
        <v>124.14635232068366</v>
      </c>
      <c r="BB35" s="31">
        <f t="shared" si="8"/>
        <v>126.27520651316314</v>
      </c>
      <c r="BC35" s="31">
        <f t="shared" si="9"/>
        <v>0</v>
      </c>
      <c r="BD35" s="31">
        <f t="shared" si="10"/>
        <v>0</v>
      </c>
      <c r="BE35" s="31">
        <f t="shared" si="11"/>
        <v>0</v>
      </c>
      <c r="BF35" s="31">
        <f t="shared" si="12"/>
        <v>0</v>
      </c>
      <c r="BG35" s="31">
        <f t="shared" si="13"/>
        <v>0</v>
      </c>
      <c r="BH35" s="31">
        <f t="shared" si="14"/>
        <v>0</v>
      </c>
    </row>
    <row r="36" spans="1:60" ht="128.25" customHeight="1" x14ac:dyDescent="0.2">
      <c r="A36" s="78" t="s">
        <v>317</v>
      </c>
      <c r="B36" s="20"/>
      <c r="C36" s="79" t="s">
        <v>319</v>
      </c>
      <c r="D36" s="100"/>
      <c r="E36" s="20" t="s">
        <v>404</v>
      </c>
      <c r="F36" s="21" t="s">
        <v>428</v>
      </c>
      <c r="G36" s="37" t="s">
        <v>429</v>
      </c>
      <c r="H36" s="37" t="s">
        <v>430</v>
      </c>
      <c r="I36" s="29" t="s">
        <v>47</v>
      </c>
      <c r="J36" s="29" t="s">
        <v>431</v>
      </c>
      <c r="K36" s="29" t="s">
        <v>360</v>
      </c>
      <c r="L36" s="37" t="s">
        <v>326</v>
      </c>
      <c r="M36" s="24" t="s">
        <v>327</v>
      </c>
      <c r="N36" s="104" t="s">
        <v>327</v>
      </c>
      <c r="O36" s="71">
        <v>0</v>
      </c>
      <c r="P36" s="37"/>
      <c r="Q36" s="71">
        <v>0</v>
      </c>
      <c r="R36" s="37"/>
      <c r="S36" s="108">
        <v>1590.0956367031756</v>
      </c>
      <c r="T36" s="37" t="s">
        <v>432</v>
      </c>
      <c r="U36" s="40">
        <v>0</v>
      </c>
      <c r="V36" s="109"/>
      <c r="W36" s="40">
        <v>0</v>
      </c>
      <c r="X36" s="109"/>
      <c r="Y36" s="110">
        <v>3.6463002530880666</v>
      </c>
      <c r="Z36" s="37" t="s">
        <v>433</v>
      </c>
      <c r="AA36" s="37"/>
      <c r="AB36" s="37"/>
      <c r="AC36" s="37"/>
      <c r="AD36" s="37"/>
      <c r="AE36" s="37"/>
      <c r="AF36" s="37"/>
      <c r="AG36" s="37"/>
      <c r="AH36" s="37"/>
      <c r="AI36" s="37"/>
      <c r="AJ36" s="37"/>
      <c r="AK36" s="37"/>
      <c r="AL36" s="37"/>
      <c r="AM36" s="98">
        <v>3.0370567523429344</v>
      </c>
      <c r="AN36" s="99" t="s">
        <v>434</v>
      </c>
      <c r="AO36" s="270"/>
      <c r="AP36" s="255"/>
      <c r="AQ36" s="255"/>
      <c r="AR36" s="253" t="s">
        <v>1353</v>
      </c>
      <c r="AS36" s="340" t="str">
        <f t="shared" si="17"/>
        <v>ACCIÓN CORRECTIVA</v>
      </c>
      <c r="AT36" s="30">
        <f t="shared" si="2"/>
        <v>265.62365615937728</v>
      </c>
      <c r="AU36" s="30">
        <f t="shared" si="1"/>
        <v>796.87096847813189</v>
      </c>
      <c r="AV36" s="1"/>
      <c r="AW36" s="31">
        <f t="shared" si="3"/>
        <v>0</v>
      </c>
      <c r="AX36" s="31">
        <f t="shared" si="4"/>
        <v>0</v>
      </c>
      <c r="AY36" s="31">
        <f t="shared" si="5"/>
        <v>1590.0956367031756</v>
      </c>
      <c r="AZ36" s="31">
        <f t="shared" si="6"/>
        <v>0</v>
      </c>
      <c r="BA36" s="31">
        <f t="shared" si="7"/>
        <v>0</v>
      </c>
      <c r="BB36" s="31">
        <f t="shared" si="8"/>
        <v>3.6463002530880666</v>
      </c>
      <c r="BC36" s="31">
        <f t="shared" si="9"/>
        <v>0</v>
      </c>
      <c r="BD36" s="31">
        <f t="shared" si="10"/>
        <v>0</v>
      </c>
      <c r="BE36" s="31">
        <f t="shared" si="11"/>
        <v>0</v>
      </c>
      <c r="BF36" s="31">
        <f t="shared" si="12"/>
        <v>0</v>
      </c>
      <c r="BG36" s="31">
        <f t="shared" si="13"/>
        <v>0</v>
      </c>
      <c r="BH36" s="31">
        <f t="shared" si="14"/>
        <v>0</v>
      </c>
    </row>
    <row r="37" spans="1:60" ht="141" customHeight="1" x14ac:dyDescent="0.2">
      <c r="A37" s="78" t="s">
        <v>317</v>
      </c>
      <c r="B37" s="20"/>
      <c r="C37" s="79" t="s">
        <v>319</v>
      </c>
      <c r="D37" s="100"/>
      <c r="E37" s="20" t="s">
        <v>404</v>
      </c>
      <c r="F37" s="21" t="s">
        <v>435</v>
      </c>
      <c r="G37" s="37" t="s">
        <v>436</v>
      </c>
      <c r="H37" s="37" t="s">
        <v>437</v>
      </c>
      <c r="I37" s="29" t="s">
        <v>47</v>
      </c>
      <c r="J37" s="29" t="s">
        <v>438</v>
      </c>
      <c r="K37" s="29" t="s">
        <v>360</v>
      </c>
      <c r="L37" s="37" t="s">
        <v>326</v>
      </c>
      <c r="M37" s="24" t="s">
        <v>327</v>
      </c>
      <c r="N37" s="104" t="s">
        <v>327</v>
      </c>
      <c r="O37" s="71">
        <v>0</v>
      </c>
      <c r="P37" s="37"/>
      <c r="Q37" s="71">
        <v>0</v>
      </c>
      <c r="R37" s="37"/>
      <c r="S37" s="111">
        <v>84.329421531213185</v>
      </c>
      <c r="T37" s="37" t="s">
        <v>439</v>
      </c>
      <c r="U37" s="40">
        <v>0</v>
      </c>
      <c r="V37" s="37"/>
      <c r="W37" s="40">
        <v>0</v>
      </c>
      <c r="X37" s="112">
        <f>+Y37-S37</f>
        <v>-26.372047195573579</v>
      </c>
      <c r="Y37" s="106">
        <v>57.957374335639606</v>
      </c>
      <c r="Z37" s="37" t="s">
        <v>440</v>
      </c>
      <c r="AA37" s="37"/>
      <c r="AB37" s="37"/>
      <c r="AC37" s="37"/>
      <c r="AD37" s="37"/>
      <c r="AE37" s="37"/>
      <c r="AF37" s="37"/>
      <c r="AG37" s="37"/>
      <c r="AH37" s="37"/>
      <c r="AI37" s="37"/>
      <c r="AJ37" s="37"/>
      <c r="AK37" s="37"/>
      <c r="AL37" s="37"/>
      <c r="AM37" s="98">
        <v>64.580626459974553</v>
      </c>
      <c r="AN37" s="99" t="s">
        <v>441</v>
      </c>
      <c r="AO37" s="270"/>
      <c r="AP37" s="255"/>
      <c r="AQ37" s="255"/>
      <c r="AR37" s="253" t="s">
        <v>1353</v>
      </c>
      <c r="AS37" s="340" t="str">
        <f t="shared" si="17"/>
        <v>ACCIÓN CORRECTIVA</v>
      </c>
      <c r="AT37" s="30">
        <f t="shared" si="2"/>
        <v>23.7144659778088</v>
      </c>
      <c r="AU37" s="30">
        <f t="shared" si="1"/>
        <v>71.1433979334264</v>
      </c>
      <c r="AV37" s="1"/>
      <c r="AW37" s="31">
        <f t="shared" si="3"/>
        <v>0</v>
      </c>
      <c r="AX37" s="31">
        <f t="shared" si="4"/>
        <v>0</v>
      </c>
      <c r="AY37" s="31">
        <f t="shared" si="5"/>
        <v>84.329421531213185</v>
      </c>
      <c r="AZ37" s="31">
        <f t="shared" si="6"/>
        <v>0</v>
      </c>
      <c r="BA37" s="31">
        <f t="shared" si="7"/>
        <v>0</v>
      </c>
      <c r="BB37" s="31">
        <f t="shared" si="8"/>
        <v>57.957374335639606</v>
      </c>
      <c r="BC37" s="31">
        <f t="shared" si="9"/>
        <v>0</v>
      </c>
      <c r="BD37" s="31">
        <f t="shared" si="10"/>
        <v>0</v>
      </c>
      <c r="BE37" s="31">
        <f t="shared" si="11"/>
        <v>0</v>
      </c>
      <c r="BF37" s="31">
        <f t="shared" si="12"/>
        <v>0</v>
      </c>
      <c r="BG37" s="31">
        <f t="shared" si="13"/>
        <v>0</v>
      </c>
      <c r="BH37" s="31">
        <f t="shared" si="14"/>
        <v>0</v>
      </c>
    </row>
    <row r="38" spans="1:60" ht="133.5" customHeight="1" x14ac:dyDescent="0.2">
      <c r="A38" s="78" t="s">
        <v>317</v>
      </c>
      <c r="B38" s="20"/>
      <c r="C38" s="79" t="s">
        <v>319</v>
      </c>
      <c r="D38" s="100"/>
      <c r="E38" s="20" t="s">
        <v>404</v>
      </c>
      <c r="F38" s="21" t="s">
        <v>442</v>
      </c>
      <c r="G38" s="37" t="s">
        <v>443</v>
      </c>
      <c r="H38" s="37" t="s">
        <v>444</v>
      </c>
      <c r="I38" s="29" t="s">
        <v>47</v>
      </c>
      <c r="J38" s="29" t="s">
        <v>445</v>
      </c>
      <c r="K38" s="29" t="s">
        <v>360</v>
      </c>
      <c r="L38" s="37" t="s">
        <v>326</v>
      </c>
      <c r="M38" s="24" t="s">
        <v>327</v>
      </c>
      <c r="N38" s="104" t="s">
        <v>327</v>
      </c>
      <c r="O38" s="71">
        <v>0</v>
      </c>
      <c r="P38" s="37"/>
      <c r="Q38" s="71">
        <v>0</v>
      </c>
      <c r="R38" s="37"/>
      <c r="S38" s="111">
        <v>36.429843311131606</v>
      </c>
      <c r="T38" s="37" t="s">
        <v>446</v>
      </c>
      <c r="U38" s="40">
        <v>0</v>
      </c>
      <c r="V38" s="37"/>
      <c r="W38" s="40">
        <v>0</v>
      </c>
      <c r="X38" s="37"/>
      <c r="Y38" s="106">
        <v>23.177220001582121</v>
      </c>
      <c r="Z38" s="37" t="s">
        <v>447</v>
      </c>
      <c r="AA38" s="37"/>
      <c r="AB38" s="37"/>
      <c r="AC38" s="37"/>
      <c r="AD38" s="37"/>
      <c r="AE38" s="37"/>
      <c r="AF38" s="37"/>
      <c r="AG38" s="37"/>
      <c r="AH38" s="37"/>
      <c r="AI38" s="37"/>
      <c r="AJ38" s="37"/>
      <c r="AK38" s="37"/>
      <c r="AL38" s="37"/>
      <c r="AM38" s="98">
        <v>27.95048703806733</v>
      </c>
      <c r="AN38" s="99" t="s">
        <v>448</v>
      </c>
      <c r="AO38" s="270"/>
      <c r="AP38" s="255"/>
      <c r="AQ38" s="255"/>
      <c r="AR38" s="253" t="s">
        <v>1353</v>
      </c>
      <c r="AS38" s="340" t="str">
        <f t="shared" si="17"/>
        <v>ACCIÓN CORRECTIVA</v>
      </c>
      <c r="AT38" s="30">
        <f t="shared" si="2"/>
        <v>9.9345105521189545</v>
      </c>
      <c r="AU38" s="30">
        <f t="shared" si="1"/>
        <v>29.803531656356864</v>
      </c>
      <c r="AV38" s="1"/>
      <c r="AW38" s="31">
        <f t="shared" si="3"/>
        <v>0</v>
      </c>
      <c r="AX38" s="31">
        <f t="shared" si="4"/>
        <v>0</v>
      </c>
      <c r="AY38" s="31">
        <f t="shared" si="5"/>
        <v>36.429843311131606</v>
      </c>
      <c r="AZ38" s="31">
        <f t="shared" si="6"/>
        <v>0</v>
      </c>
      <c r="BA38" s="31">
        <f t="shared" si="7"/>
        <v>0</v>
      </c>
      <c r="BB38" s="31">
        <f t="shared" si="8"/>
        <v>23.177220001582121</v>
      </c>
      <c r="BC38" s="31">
        <f t="shared" si="9"/>
        <v>0</v>
      </c>
      <c r="BD38" s="31">
        <f t="shared" si="10"/>
        <v>0</v>
      </c>
      <c r="BE38" s="31">
        <f t="shared" si="11"/>
        <v>0</v>
      </c>
      <c r="BF38" s="31">
        <f t="shared" si="12"/>
        <v>0</v>
      </c>
      <c r="BG38" s="31">
        <f t="shared" si="13"/>
        <v>0</v>
      </c>
      <c r="BH38" s="31">
        <f t="shared" si="14"/>
        <v>0</v>
      </c>
    </row>
    <row r="39" spans="1:60" ht="138" customHeight="1" x14ac:dyDescent="0.2">
      <c r="A39" s="78" t="s">
        <v>317</v>
      </c>
      <c r="B39" s="20"/>
      <c r="C39" s="79" t="s">
        <v>319</v>
      </c>
      <c r="D39" s="100"/>
      <c r="E39" s="20" t="s">
        <v>404</v>
      </c>
      <c r="F39" s="21" t="s">
        <v>449</v>
      </c>
      <c r="G39" s="37" t="s">
        <v>450</v>
      </c>
      <c r="H39" s="37" t="s">
        <v>451</v>
      </c>
      <c r="I39" s="29" t="s">
        <v>47</v>
      </c>
      <c r="J39" s="29" t="s">
        <v>452</v>
      </c>
      <c r="K39" s="29" t="s">
        <v>360</v>
      </c>
      <c r="L39" s="37" t="s">
        <v>326</v>
      </c>
      <c r="M39" s="24" t="s">
        <v>327</v>
      </c>
      <c r="N39" s="104" t="s">
        <v>327</v>
      </c>
      <c r="O39" s="71">
        <v>0</v>
      </c>
      <c r="P39" s="37"/>
      <c r="Q39" s="71">
        <v>0</v>
      </c>
      <c r="R39" s="37"/>
      <c r="S39" s="111">
        <v>46.213628299870429</v>
      </c>
      <c r="T39" s="37" t="s">
        <v>453</v>
      </c>
      <c r="U39" s="40">
        <v>0</v>
      </c>
      <c r="V39" s="37"/>
      <c r="W39" s="40">
        <v>0</v>
      </c>
      <c r="X39" s="37"/>
      <c r="Y39" s="106">
        <v>29.518149071185817</v>
      </c>
      <c r="Z39" s="37" t="s">
        <v>454</v>
      </c>
      <c r="AA39" s="37"/>
      <c r="AB39" s="37"/>
      <c r="AC39" s="37"/>
      <c r="AD39" s="37"/>
      <c r="AE39" s="37"/>
      <c r="AF39" s="37"/>
      <c r="AG39" s="37"/>
      <c r="AH39" s="37"/>
      <c r="AI39" s="37"/>
      <c r="AJ39" s="37"/>
      <c r="AK39" s="37"/>
      <c r="AL39" s="37"/>
      <c r="AM39" s="98">
        <v>22.425904326482147</v>
      </c>
      <c r="AN39" s="99" t="s">
        <v>455</v>
      </c>
      <c r="AO39" s="270"/>
      <c r="AP39" s="255"/>
      <c r="AQ39" s="255"/>
      <c r="AR39" s="253" t="s">
        <v>1353</v>
      </c>
      <c r="AS39" s="340" t="str">
        <f t="shared" si="17"/>
        <v>ACCIÓN CORRECTIVA</v>
      </c>
      <c r="AT39" s="30">
        <f t="shared" si="2"/>
        <v>12.62196289517604</v>
      </c>
      <c r="AU39" s="30">
        <f t="shared" si="1"/>
        <v>37.86588868552812</v>
      </c>
      <c r="AV39" s="1"/>
      <c r="AW39" s="31">
        <f t="shared" si="3"/>
        <v>0</v>
      </c>
      <c r="AX39" s="31">
        <f t="shared" si="4"/>
        <v>0</v>
      </c>
      <c r="AY39" s="31">
        <f t="shared" si="5"/>
        <v>46.213628299870429</v>
      </c>
      <c r="AZ39" s="31">
        <f t="shared" si="6"/>
        <v>0</v>
      </c>
      <c r="BA39" s="31">
        <f t="shared" si="7"/>
        <v>0</v>
      </c>
      <c r="BB39" s="31">
        <f t="shared" si="8"/>
        <v>29.518149071185817</v>
      </c>
      <c r="BC39" s="31">
        <f t="shared" si="9"/>
        <v>0</v>
      </c>
      <c r="BD39" s="31">
        <f t="shared" si="10"/>
        <v>0</v>
      </c>
      <c r="BE39" s="31">
        <f t="shared" si="11"/>
        <v>0</v>
      </c>
      <c r="BF39" s="31">
        <f t="shared" si="12"/>
        <v>0</v>
      </c>
      <c r="BG39" s="31">
        <f t="shared" si="13"/>
        <v>0</v>
      </c>
      <c r="BH39" s="31">
        <f t="shared" si="14"/>
        <v>0</v>
      </c>
    </row>
    <row r="40" spans="1:60" ht="132" customHeight="1" x14ac:dyDescent="0.2">
      <c r="A40" s="78" t="s">
        <v>317</v>
      </c>
      <c r="B40" s="20"/>
      <c r="C40" s="79" t="s">
        <v>319</v>
      </c>
      <c r="D40" s="100"/>
      <c r="E40" s="20" t="s">
        <v>404</v>
      </c>
      <c r="F40" s="21" t="s">
        <v>456</v>
      </c>
      <c r="G40" s="37" t="s">
        <v>457</v>
      </c>
      <c r="H40" s="37" t="s">
        <v>458</v>
      </c>
      <c r="I40" s="29" t="s">
        <v>47</v>
      </c>
      <c r="J40" s="29" t="s">
        <v>459</v>
      </c>
      <c r="K40" s="29" t="s">
        <v>360</v>
      </c>
      <c r="L40" s="37" t="s">
        <v>326</v>
      </c>
      <c r="M40" s="24" t="s">
        <v>327</v>
      </c>
      <c r="N40" s="104" t="s">
        <v>327</v>
      </c>
      <c r="O40" s="71">
        <v>0</v>
      </c>
      <c r="P40" s="37"/>
      <c r="Q40" s="71">
        <v>0</v>
      </c>
      <c r="R40" s="37"/>
      <c r="S40" s="111">
        <v>4.6812217731399715</v>
      </c>
      <c r="T40" s="37" t="s">
        <v>460</v>
      </c>
      <c r="U40" s="40">
        <v>0</v>
      </c>
      <c r="V40" s="37"/>
      <c r="W40" s="40">
        <v>0</v>
      </c>
      <c r="X40" s="37"/>
      <c r="Y40" s="106">
        <v>4.1932381201000188</v>
      </c>
      <c r="Z40" s="37" t="s">
        <v>461</v>
      </c>
      <c r="AA40" s="37"/>
      <c r="AB40" s="37"/>
      <c r="AC40" s="37"/>
      <c r="AD40" s="37"/>
      <c r="AE40" s="37"/>
      <c r="AF40" s="37"/>
      <c r="AG40" s="37"/>
      <c r="AH40" s="37"/>
      <c r="AI40" s="37"/>
      <c r="AJ40" s="37"/>
      <c r="AK40" s="37"/>
      <c r="AL40" s="37"/>
      <c r="AM40" s="98">
        <v>2.8277140709847997</v>
      </c>
      <c r="AN40" s="99" t="s">
        <v>462</v>
      </c>
      <c r="AO40" s="270"/>
      <c r="AP40" s="255"/>
      <c r="AQ40" s="255"/>
      <c r="AR40" s="253" t="s">
        <v>1353</v>
      </c>
      <c r="AS40" s="340" t="str">
        <f t="shared" si="17"/>
        <v>ACCIÓN CORRECTIVA</v>
      </c>
      <c r="AT40" s="30">
        <f t="shared" si="2"/>
        <v>1.4790766488733318</v>
      </c>
      <c r="AU40" s="30">
        <f t="shared" si="1"/>
        <v>4.4372299466199951</v>
      </c>
      <c r="AV40" s="1"/>
      <c r="AW40" s="31">
        <f t="shared" si="3"/>
        <v>0</v>
      </c>
      <c r="AX40" s="31">
        <f t="shared" si="4"/>
        <v>0</v>
      </c>
      <c r="AY40" s="31">
        <f t="shared" si="5"/>
        <v>4.6812217731399715</v>
      </c>
      <c r="AZ40" s="31">
        <f t="shared" si="6"/>
        <v>0</v>
      </c>
      <c r="BA40" s="31">
        <f t="shared" si="7"/>
        <v>0</v>
      </c>
      <c r="BB40" s="31">
        <f t="shared" si="8"/>
        <v>4.1932381201000188</v>
      </c>
      <c r="BC40" s="31">
        <f t="shared" si="9"/>
        <v>0</v>
      </c>
      <c r="BD40" s="31">
        <f t="shared" si="10"/>
        <v>0</v>
      </c>
      <c r="BE40" s="31">
        <f t="shared" si="11"/>
        <v>0</v>
      </c>
      <c r="BF40" s="31">
        <f t="shared" si="12"/>
        <v>0</v>
      </c>
      <c r="BG40" s="31">
        <f t="shared" si="13"/>
        <v>0</v>
      </c>
      <c r="BH40" s="31">
        <f t="shared" si="14"/>
        <v>0</v>
      </c>
    </row>
    <row r="41" spans="1:60" ht="134.25" customHeight="1" x14ac:dyDescent="0.2">
      <c r="A41" s="78" t="s">
        <v>317</v>
      </c>
      <c r="B41" s="20"/>
      <c r="C41" s="79" t="s">
        <v>319</v>
      </c>
      <c r="D41" s="100"/>
      <c r="E41" s="20" t="s">
        <v>463</v>
      </c>
      <c r="F41" s="21"/>
      <c r="G41" s="113" t="s">
        <v>464</v>
      </c>
      <c r="H41" s="113" t="s">
        <v>464</v>
      </c>
      <c r="I41" s="128"/>
      <c r="J41" s="114" t="s">
        <v>464</v>
      </c>
      <c r="K41" s="114"/>
      <c r="L41" s="80"/>
      <c r="M41" s="21"/>
      <c r="N41" s="82"/>
      <c r="O41" s="99"/>
      <c r="P41" s="113"/>
      <c r="Q41" s="82"/>
      <c r="R41" s="113"/>
      <c r="S41" s="82"/>
      <c r="T41" s="113"/>
      <c r="U41" s="115">
        <v>0</v>
      </c>
      <c r="V41" s="82"/>
      <c r="W41" s="116">
        <v>0</v>
      </c>
      <c r="X41" s="82"/>
      <c r="Y41" s="117">
        <v>0</v>
      </c>
      <c r="Z41" s="82"/>
      <c r="AA41" s="118">
        <v>0</v>
      </c>
      <c r="AB41" s="82"/>
      <c r="AC41" s="115">
        <v>0</v>
      </c>
      <c r="AD41" s="82"/>
      <c r="AE41" s="115">
        <v>0</v>
      </c>
      <c r="AF41" s="82"/>
      <c r="AG41" s="115"/>
      <c r="AH41" s="82"/>
      <c r="AI41" s="115"/>
      <c r="AJ41" s="82"/>
      <c r="AK41" s="115"/>
      <c r="AL41" s="82"/>
      <c r="AM41" s="62" t="s">
        <v>465</v>
      </c>
      <c r="AN41" s="62" t="s">
        <v>465</v>
      </c>
      <c r="AO41" s="270"/>
      <c r="AP41" s="255"/>
      <c r="AQ41" s="255"/>
      <c r="AR41" s="253" t="s">
        <v>1353</v>
      </c>
      <c r="AS41" s="340" t="str">
        <f t="shared" si="17"/>
        <v>ACCIÓN CORRECTIVA</v>
      </c>
      <c r="AT41" s="30">
        <f t="shared" si="2"/>
        <v>0</v>
      </c>
      <c r="AU41" s="30">
        <f t="shared" si="1"/>
        <v>0</v>
      </c>
      <c r="AV41" s="1"/>
      <c r="AW41" s="31">
        <f t="shared" si="3"/>
        <v>0</v>
      </c>
      <c r="AX41" s="31">
        <f t="shared" si="4"/>
        <v>0</v>
      </c>
      <c r="AY41" s="31">
        <f t="shared" si="5"/>
        <v>0</v>
      </c>
      <c r="AZ41" s="31">
        <f t="shared" si="6"/>
        <v>0</v>
      </c>
      <c r="BA41" s="31">
        <f t="shared" si="7"/>
        <v>0</v>
      </c>
      <c r="BB41" s="31">
        <f t="shared" si="8"/>
        <v>0</v>
      </c>
      <c r="BC41" s="31">
        <f t="shared" si="9"/>
        <v>0</v>
      </c>
      <c r="BD41" s="31">
        <f t="shared" si="10"/>
        <v>0</v>
      </c>
      <c r="BE41" s="31">
        <f t="shared" si="11"/>
        <v>0</v>
      </c>
      <c r="BF41" s="31">
        <f t="shared" si="12"/>
        <v>0</v>
      </c>
      <c r="BG41" s="31">
        <f t="shared" si="13"/>
        <v>0</v>
      </c>
      <c r="BH41" s="31">
        <f t="shared" si="14"/>
        <v>0</v>
      </c>
    </row>
    <row r="42" spans="1:60" ht="132" customHeight="1" x14ac:dyDescent="0.2">
      <c r="A42" s="78" t="s">
        <v>317</v>
      </c>
      <c r="B42" s="20"/>
      <c r="C42" s="79" t="s">
        <v>319</v>
      </c>
      <c r="D42" s="100"/>
      <c r="E42" s="20" t="s">
        <v>463</v>
      </c>
      <c r="F42" s="21" t="s">
        <v>466</v>
      </c>
      <c r="G42" s="37" t="s">
        <v>467</v>
      </c>
      <c r="H42" s="37" t="s">
        <v>468</v>
      </c>
      <c r="I42" s="128" t="s">
        <v>469</v>
      </c>
      <c r="J42" s="29" t="s">
        <v>470</v>
      </c>
      <c r="K42" s="29" t="s">
        <v>385</v>
      </c>
      <c r="L42" s="80" t="s">
        <v>326</v>
      </c>
      <c r="M42" s="21" t="s">
        <v>327</v>
      </c>
      <c r="N42" s="82" t="s">
        <v>327</v>
      </c>
      <c r="O42" s="71">
        <v>0</v>
      </c>
      <c r="P42" s="113"/>
      <c r="Q42" s="71">
        <v>0</v>
      </c>
      <c r="R42" s="113"/>
      <c r="S42" s="43">
        <v>4.2685877109433383E-2</v>
      </c>
      <c r="T42" s="37" t="s">
        <v>471</v>
      </c>
      <c r="U42" s="40">
        <v>0</v>
      </c>
      <c r="V42" s="82"/>
      <c r="W42" s="40">
        <v>0</v>
      </c>
      <c r="X42" s="82"/>
      <c r="Y42" s="119">
        <v>5.9236884608112252E-2</v>
      </c>
      <c r="Z42" s="96" t="s">
        <v>472</v>
      </c>
      <c r="AA42" s="82"/>
      <c r="AB42" s="82"/>
      <c r="AC42" s="82"/>
      <c r="AD42" s="82"/>
      <c r="AE42" s="82"/>
      <c r="AF42" s="82"/>
      <c r="AG42" s="82"/>
      <c r="AH42" s="82"/>
      <c r="AI42" s="82"/>
      <c r="AJ42" s="82"/>
      <c r="AK42" s="82"/>
      <c r="AL42" s="82"/>
      <c r="AM42" s="103">
        <v>5.9226647779689973E-2</v>
      </c>
      <c r="AN42" s="99" t="s">
        <v>415</v>
      </c>
      <c r="AO42" s="270"/>
      <c r="AP42" s="255"/>
      <c r="AQ42" s="255"/>
      <c r="AR42" s="253" t="s">
        <v>1353</v>
      </c>
      <c r="AS42" s="340" t="str">
        <f t="shared" si="17"/>
        <v>ACCIÓN CORRECTIVA</v>
      </c>
      <c r="AT42" s="30">
        <f t="shared" si="2"/>
        <v>1.6987126952924272E-2</v>
      </c>
      <c r="AU42" s="30">
        <f t="shared" si="1"/>
        <v>5.0961380858772817E-2</v>
      </c>
      <c r="AV42" s="1"/>
      <c r="AW42" s="31">
        <f t="shared" si="3"/>
        <v>0</v>
      </c>
      <c r="AX42" s="31">
        <f t="shared" si="4"/>
        <v>0</v>
      </c>
      <c r="AY42" s="31">
        <f t="shared" si="5"/>
        <v>4.2685877109433383E-2</v>
      </c>
      <c r="AZ42" s="31">
        <f t="shared" si="6"/>
        <v>0</v>
      </c>
      <c r="BA42" s="31">
        <f t="shared" si="7"/>
        <v>0</v>
      </c>
      <c r="BB42" s="31">
        <f t="shared" si="8"/>
        <v>5.9236884608112252E-2</v>
      </c>
      <c r="BC42" s="31">
        <f t="shared" si="9"/>
        <v>0</v>
      </c>
      <c r="BD42" s="31">
        <f t="shared" si="10"/>
        <v>0</v>
      </c>
      <c r="BE42" s="31">
        <f t="shared" si="11"/>
        <v>0</v>
      </c>
      <c r="BF42" s="31">
        <f t="shared" si="12"/>
        <v>0</v>
      </c>
      <c r="BG42" s="31">
        <f t="shared" si="13"/>
        <v>0</v>
      </c>
      <c r="BH42" s="31">
        <f t="shared" si="14"/>
        <v>0</v>
      </c>
    </row>
    <row r="43" spans="1:60" ht="141" customHeight="1" x14ac:dyDescent="0.2">
      <c r="A43" s="78" t="s">
        <v>317</v>
      </c>
      <c r="B43" s="20"/>
      <c r="C43" s="79" t="s">
        <v>319</v>
      </c>
      <c r="D43" s="100"/>
      <c r="E43" s="20" t="s">
        <v>463</v>
      </c>
      <c r="F43" s="21" t="s">
        <v>473</v>
      </c>
      <c r="G43" s="37" t="s">
        <v>474</v>
      </c>
      <c r="H43" s="37" t="s">
        <v>475</v>
      </c>
      <c r="I43" s="128" t="s">
        <v>476</v>
      </c>
      <c r="J43" s="29" t="s">
        <v>477</v>
      </c>
      <c r="K43" s="29" t="s">
        <v>360</v>
      </c>
      <c r="L43" s="80" t="s">
        <v>326</v>
      </c>
      <c r="M43" s="21" t="s">
        <v>327</v>
      </c>
      <c r="N43" s="82" t="s">
        <v>327</v>
      </c>
      <c r="O43" s="71">
        <v>0</v>
      </c>
      <c r="P43" s="37"/>
      <c r="Q43" s="71">
        <v>0</v>
      </c>
      <c r="R43" s="37"/>
      <c r="S43" s="120">
        <v>16727404553</v>
      </c>
      <c r="T43" s="37" t="s">
        <v>478</v>
      </c>
      <c r="U43" s="40">
        <v>0</v>
      </c>
      <c r="V43" s="82"/>
      <c r="W43" s="40">
        <v>0</v>
      </c>
      <c r="X43" s="82"/>
      <c r="Y43" s="121">
        <v>20982392.89399999</v>
      </c>
      <c r="Z43" s="96" t="s">
        <v>479</v>
      </c>
      <c r="AA43" s="82"/>
      <c r="AB43" s="82"/>
      <c r="AC43" s="82"/>
      <c r="AD43" s="82"/>
      <c r="AE43" s="82"/>
      <c r="AF43" s="82"/>
      <c r="AG43" s="82"/>
      <c r="AH43" s="82"/>
      <c r="AI43" s="82"/>
      <c r="AJ43" s="82"/>
      <c r="AK43" s="82"/>
      <c r="AL43" s="82"/>
      <c r="AM43" s="122">
        <v>44943460380.000008</v>
      </c>
      <c r="AN43" s="99" t="s">
        <v>480</v>
      </c>
      <c r="AO43" s="270"/>
      <c r="AP43" s="255"/>
      <c r="AQ43" s="255"/>
      <c r="AR43" s="253" t="s">
        <v>1353</v>
      </c>
      <c r="AS43" s="340" t="str">
        <f t="shared" si="17"/>
        <v>ACCIÓN CORRECTIVA</v>
      </c>
      <c r="AT43" s="30">
        <f t="shared" si="2"/>
        <v>2791397824.3156667</v>
      </c>
      <c r="AU43" s="30">
        <f t="shared" si="1"/>
        <v>8374193472.9469995</v>
      </c>
      <c r="AV43" s="1"/>
      <c r="AW43" s="31">
        <f t="shared" si="3"/>
        <v>0</v>
      </c>
      <c r="AX43" s="31">
        <f t="shared" si="4"/>
        <v>0</v>
      </c>
      <c r="AY43" s="31">
        <f t="shared" si="5"/>
        <v>16727404553</v>
      </c>
      <c r="AZ43" s="31">
        <f t="shared" si="6"/>
        <v>0</v>
      </c>
      <c r="BA43" s="31">
        <f t="shared" si="7"/>
        <v>0</v>
      </c>
      <c r="BB43" s="31">
        <f t="shared" si="8"/>
        <v>20982392.89399999</v>
      </c>
      <c r="BC43" s="31">
        <f t="shared" si="9"/>
        <v>0</v>
      </c>
      <c r="BD43" s="31">
        <f t="shared" si="10"/>
        <v>0</v>
      </c>
      <c r="BE43" s="31">
        <f t="shared" si="11"/>
        <v>0</v>
      </c>
      <c r="BF43" s="31">
        <f t="shared" si="12"/>
        <v>0</v>
      </c>
      <c r="BG43" s="31">
        <f t="shared" si="13"/>
        <v>0</v>
      </c>
      <c r="BH43" s="31">
        <f t="shared" si="14"/>
        <v>0</v>
      </c>
    </row>
    <row r="44" spans="1:60" ht="130.5" customHeight="1" x14ac:dyDescent="0.2">
      <c r="A44" s="78" t="s">
        <v>317</v>
      </c>
      <c r="B44" s="20"/>
      <c r="C44" s="79" t="s">
        <v>319</v>
      </c>
      <c r="D44" s="100"/>
      <c r="E44" s="20" t="s">
        <v>463</v>
      </c>
      <c r="F44" s="21" t="s">
        <v>481</v>
      </c>
      <c r="G44" s="37" t="s">
        <v>482</v>
      </c>
      <c r="H44" s="37" t="s">
        <v>483</v>
      </c>
      <c r="I44" s="128" t="s">
        <v>47</v>
      </c>
      <c r="J44" s="29" t="s">
        <v>484</v>
      </c>
      <c r="K44" s="29" t="s">
        <v>385</v>
      </c>
      <c r="L44" s="80" t="s">
        <v>326</v>
      </c>
      <c r="M44" s="21" t="s">
        <v>327</v>
      </c>
      <c r="N44" s="82" t="s">
        <v>327</v>
      </c>
      <c r="O44" s="71">
        <v>0</v>
      </c>
      <c r="P44" s="37"/>
      <c r="Q44" s="71">
        <v>0</v>
      </c>
      <c r="R44" s="37"/>
      <c r="S44" s="43">
        <v>0.42730166853393003</v>
      </c>
      <c r="T44" s="37" t="s">
        <v>485</v>
      </c>
      <c r="U44" s="40">
        <v>0</v>
      </c>
      <c r="V44" s="82"/>
      <c r="W44" s="40">
        <v>0</v>
      </c>
      <c r="X44" s="82"/>
      <c r="Y44" s="119">
        <v>0.40815462328293978</v>
      </c>
      <c r="Z44" s="37" t="s">
        <v>486</v>
      </c>
      <c r="AA44" s="82"/>
      <c r="AB44" s="82"/>
      <c r="AC44" s="82"/>
      <c r="AD44" s="82"/>
      <c r="AE44" s="82"/>
      <c r="AF44" s="82"/>
      <c r="AG44" s="82"/>
      <c r="AH44" s="82"/>
      <c r="AI44" s="82"/>
      <c r="AJ44" s="82"/>
      <c r="AK44" s="82"/>
      <c r="AL44" s="82"/>
      <c r="AM44" s="103">
        <v>0.25088074726502452</v>
      </c>
      <c r="AN44" s="99" t="s">
        <v>487</v>
      </c>
      <c r="AO44" s="270"/>
      <c r="AP44" s="255"/>
      <c r="AQ44" s="255"/>
      <c r="AR44" s="253" t="s">
        <v>1353</v>
      </c>
      <c r="AS44" s="340" t="str">
        <f t="shared" si="17"/>
        <v>ACCIÓN CORRECTIVA</v>
      </c>
      <c r="AT44" s="30">
        <f t="shared" si="2"/>
        <v>0.13924271530281163</v>
      </c>
      <c r="AU44" s="30">
        <f t="shared" si="1"/>
        <v>0.41772814590843488</v>
      </c>
      <c r="AV44" s="1"/>
      <c r="AW44" s="31">
        <f t="shared" si="3"/>
        <v>0</v>
      </c>
      <c r="AX44" s="31">
        <f t="shared" si="4"/>
        <v>0</v>
      </c>
      <c r="AY44" s="31">
        <f t="shared" si="5"/>
        <v>0.42730166853393003</v>
      </c>
      <c r="AZ44" s="31">
        <f t="shared" si="6"/>
        <v>0</v>
      </c>
      <c r="BA44" s="31">
        <f t="shared" si="7"/>
        <v>0</v>
      </c>
      <c r="BB44" s="31">
        <f t="shared" si="8"/>
        <v>0.40815462328293978</v>
      </c>
      <c r="BC44" s="31">
        <f t="shared" si="9"/>
        <v>0</v>
      </c>
      <c r="BD44" s="31">
        <f t="shared" si="10"/>
        <v>0</v>
      </c>
      <c r="BE44" s="31">
        <f t="shared" si="11"/>
        <v>0</v>
      </c>
      <c r="BF44" s="31">
        <f t="shared" si="12"/>
        <v>0</v>
      </c>
      <c r="BG44" s="31">
        <f t="shared" si="13"/>
        <v>0</v>
      </c>
      <c r="BH44" s="31">
        <f t="shared" si="14"/>
        <v>0</v>
      </c>
    </row>
    <row r="45" spans="1:60" ht="144.75" customHeight="1" x14ac:dyDescent="0.2">
      <c r="A45" s="78" t="s">
        <v>317</v>
      </c>
      <c r="B45" s="20"/>
      <c r="C45" s="79" t="s">
        <v>319</v>
      </c>
      <c r="D45" s="100"/>
      <c r="E45" s="20" t="s">
        <v>463</v>
      </c>
      <c r="F45" s="21" t="s">
        <v>488</v>
      </c>
      <c r="G45" s="37" t="s">
        <v>489</v>
      </c>
      <c r="H45" s="37" t="s">
        <v>490</v>
      </c>
      <c r="I45" s="128" t="s">
        <v>47</v>
      </c>
      <c r="J45" s="29" t="s">
        <v>491</v>
      </c>
      <c r="K45" s="29" t="s">
        <v>385</v>
      </c>
      <c r="L45" s="80" t="s">
        <v>326</v>
      </c>
      <c r="M45" s="21" t="s">
        <v>327</v>
      </c>
      <c r="N45" s="82" t="s">
        <v>327</v>
      </c>
      <c r="O45" s="71">
        <v>0</v>
      </c>
      <c r="P45" s="37"/>
      <c r="Q45" s="71">
        <v>0</v>
      </c>
      <c r="R45" s="37"/>
      <c r="S45" s="43">
        <v>0.47182416574174069</v>
      </c>
      <c r="T45" s="37" t="s">
        <v>492</v>
      </c>
      <c r="U45" s="40">
        <v>0</v>
      </c>
      <c r="V45" s="82"/>
      <c r="W45" s="40">
        <v>0</v>
      </c>
      <c r="X45" s="82"/>
      <c r="Y45" s="119">
        <v>0.51831819316547301</v>
      </c>
      <c r="Z45" s="37" t="s">
        <v>493</v>
      </c>
      <c r="AA45" s="82"/>
      <c r="AB45" s="82"/>
      <c r="AC45" s="82"/>
      <c r="AD45" s="82"/>
      <c r="AE45" s="82"/>
      <c r="AF45" s="82"/>
      <c r="AG45" s="82"/>
      <c r="AH45" s="82"/>
      <c r="AI45" s="82"/>
      <c r="AJ45" s="82"/>
      <c r="AK45" s="82"/>
      <c r="AL45" s="82"/>
      <c r="AM45" s="103">
        <v>0.18262961423920374</v>
      </c>
      <c r="AN45" s="99" t="s">
        <v>487</v>
      </c>
      <c r="AO45" s="270"/>
      <c r="AP45" s="255"/>
      <c r="AQ45" s="255"/>
      <c r="AR45" s="253" t="s">
        <v>1353</v>
      </c>
      <c r="AS45" s="340" t="str">
        <f t="shared" si="17"/>
        <v>ACCIÓN CORRECTIVA</v>
      </c>
      <c r="AT45" s="30">
        <f t="shared" si="2"/>
        <v>0.16502372648453562</v>
      </c>
      <c r="AU45" s="30">
        <f t="shared" si="1"/>
        <v>0.49507117945360685</v>
      </c>
      <c r="AV45" s="1"/>
      <c r="AW45" s="31">
        <f t="shared" si="3"/>
        <v>0</v>
      </c>
      <c r="AX45" s="31">
        <f t="shared" si="4"/>
        <v>0</v>
      </c>
      <c r="AY45" s="31">
        <f t="shared" si="5"/>
        <v>0.47182416574174069</v>
      </c>
      <c r="AZ45" s="31">
        <f t="shared" si="6"/>
        <v>0</v>
      </c>
      <c r="BA45" s="31">
        <f t="shared" si="7"/>
        <v>0</v>
      </c>
      <c r="BB45" s="31">
        <f t="shared" si="8"/>
        <v>0.51831819316547301</v>
      </c>
      <c r="BC45" s="31">
        <f t="shared" si="9"/>
        <v>0</v>
      </c>
      <c r="BD45" s="31">
        <f t="shared" si="10"/>
        <v>0</v>
      </c>
      <c r="BE45" s="31">
        <f t="shared" si="11"/>
        <v>0</v>
      </c>
      <c r="BF45" s="31">
        <f t="shared" si="12"/>
        <v>0</v>
      </c>
      <c r="BG45" s="31">
        <f t="shared" si="13"/>
        <v>0</v>
      </c>
      <c r="BH45" s="31">
        <f t="shared" si="14"/>
        <v>0</v>
      </c>
    </row>
    <row r="46" spans="1:60" ht="135" customHeight="1" x14ac:dyDescent="0.2">
      <c r="A46" s="78" t="s">
        <v>317</v>
      </c>
      <c r="B46" s="20"/>
      <c r="C46" s="79" t="s">
        <v>319</v>
      </c>
      <c r="D46" s="123"/>
      <c r="E46" s="20" t="s">
        <v>463</v>
      </c>
      <c r="F46" s="21" t="s">
        <v>494</v>
      </c>
      <c r="G46" s="37" t="s">
        <v>495</v>
      </c>
      <c r="H46" s="37" t="s">
        <v>496</v>
      </c>
      <c r="I46" s="128" t="s">
        <v>47</v>
      </c>
      <c r="J46" s="29" t="s">
        <v>497</v>
      </c>
      <c r="K46" s="29" t="s">
        <v>385</v>
      </c>
      <c r="L46" s="80" t="s">
        <v>326</v>
      </c>
      <c r="M46" s="21" t="s">
        <v>327</v>
      </c>
      <c r="N46" s="82" t="s">
        <v>327</v>
      </c>
      <c r="O46" s="71">
        <v>0</v>
      </c>
      <c r="P46" s="37"/>
      <c r="Q46" s="71">
        <v>0</v>
      </c>
      <c r="R46" s="37"/>
      <c r="S46" s="43">
        <v>0.12471170943910209</v>
      </c>
      <c r="T46" s="37" t="s">
        <v>498</v>
      </c>
      <c r="U46" s="40">
        <v>0</v>
      </c>
      <c r="V46" s="82"/>
      <c r="W46" s="40">
        <v>0</v>
      </c>
      <c r="X46" s="82"/>
      <c r="Y46" s="119">
        <v>0.15675259724470506</v>
      </c>
      <c r="Z46" s="37" t="s">
        <v>499</v>
      </c>
      <c r="AA46" s="82"/>
      <c r="AB46" s="82"/>
      <c r="AC46" s="82"/>
      <c r="AD46" s="82"/>
      <c r="AE46" s="82"/>
      <c r="AF46" s="82"/>
      <c r="AG46" s="82"/>
      <c r="AH46" s="82"/>
      <c r="AI46" s="82"/>
      <c r="AJ46" s="82"/>
      <c r="AK46" s="82"/>
      <c r="AL46" s="82"/>
      <c r="AM46" s="103">
        <v>0.19391179429415836</v>
      </c>
      <c r="AN46" s="99" t="s">
        <v>500</v>
      </c>
      <c r="AO46" s="270"/>
      <c r="AP46" s="255"/>
      <c r="AQ46" s="255"/>
      <c r="AR46" s="253" t="s">
        <v>1353</v>
      </c>
      <c r="AS46" s="340" t="str">
        <f t="shared" si="17"/>
        <v>ACCIÓN CORRECTIVA</v>
      </c>
      <c r="AT46" s="30">
        <f t="shared" si="2"/>
        <v>4.6910717780634527E-2</v>
      </c>
      <c r="AU46" s="30">
        <f t="shared" si="1"/>
        <v>0.14073215334190359</v>
      </c>
      <c r="AV46" s="1"/>
      <c r="AW46" s="31">
        <f t="shared" si="3"/>
        <v>0</v>
      </c>
      <c r="AX46" s="31">
        <f t="shared" si="4"/>
        <v>0</v>
      </c>
      <c r="AY46" s="31">
        <f t="shared" si="5"/>
        <v>0.12471170943910209</v>
      </c>
      <c r="AZ46" s="31">
        <f t="shared" si="6"/>
        <v>0</v>
      </c>
      <c r="BA46" s="31">
        <f t="shared" si="7"/>
        <v>0</v>
      </c>
      <c r="BB46" s="31">
        <f t="shared" si="8"/>
        <v>0.15675259724470506</v>
      </c>
      <c r="BC46" s="31">
        <f t="shared" si="9"/>
        <v>0</v>
      </c>
      <c r="BD46" s="31">
        <f t="shared" si="10"/>
        <v>0</v>
      </c>
      <c r="BE46" s="31">
        <f t="shared" si="11"/>
        <v>0</v>
      </c>
      <c r="BF46" s="31">
        <f t="shared" si="12"/>
        <v>0</v>
      </c>
      <c r="BG46" s="31">
        <f t="shared" si="13"/>
        <v>0</v>
      </c>
      <c r="BH46" s="31">
        <f t="shared" si="14"/>
        <v>0</v>
      </c>
    </row>
    <row r="47" spans="1:60" ht="135" customHeight="1" x14ac:dyDescent="0.2">
      <c r="A47" s="78" t="s">
        <v>317</v>
      </c>
      <c r="B47" s="406" t="s">
        <v>501</v>
      </c>
      <c r="C47" s="124" t="s">
        <v>502</v>
      </c>
      <c r="D47" s="125" t="s">
        <v>503</v>
      </c>
      <c r="E47" s="20" t="s">
        <v>504</v>
      </c>
      <c r="F47" s="126" t="s">
        <v>505</v>
      </c>
      <c r="G47" s="127" t="s">
        <v>506</v>
      </c>
      <c r="H47" s="127" t="s">
        <v>507</v>
      </c>
      <c r="I47" s="128" t="s">
        <v>47</v>
      </c>
      <c r="J47" s="128" t="s">
        <v>508</v>
      </c>
      <c r="K47" s="128" t="s">
        <v>509</v>
      </c>
      <c r="L47" s="22" t="s">
        <v>510</v>
      </c>
      <c r="M47" s="21" t="s">
        <v>410</v>
      </c>
      <c r="N47" s="21" t="s">
        <v>410</v>
      </c>
      <c r="O47" s="21">
        <v>51</v>
      </c>
      <c r="P47" s="80" t="s">
        <v>511</v>
      </c>
      <c r="Q47" s="21">
        <v>61</v>
      </c>
      <c r="R47" s="80" t="s">
        <v>512</v>
      </c>
      <c r="S47" s="129">
        <v>33</v>
      </c>
      <c r="T47" s="80" t="s">
        <v>513</v>
      </c>
      <c r="U47" s="130">
        <f>(171/244)-1</f>
        <v>-0.29918032786885251</v>
      </c>
      <c r="V47" s="80" t="s">
        <v>514</v>
      </c>
      <c r="W47" s="130">
        <f>(215/273)-1</f>
        <v>-0.21245421245421248</v>
      </c>
      <c r="X47" s="80" t="s">
        <v>515</v>
      </c>
      <c r="Y47" s="130">
        <f>(262/281)-1</f>
        <v>-6.7615658362989328E-2</v>
      </c>
      <c r="Z47" s="80" t="s">
        <v>516</v>
      </c>
      <c r="AA47" s="130">
        <f>(303/310)-1</f>
        <v>-2.2580645161290325E-2</v>
      </c>
      <c r="AB47" s="80" t="s">
        <v>517</v>
      </c>
      <c r="AC47" s="130">
        <f>(387/424)-1</f>
        <v>-8.7264150943396235E-2</v>
      </c>
      <c r="AD47" s="80" t="s">
        <v>518</v>
      </c>
      <c r="AE47" s="131">
        <f>(470/465)-1</f>
        <v>1.0752688172043001E-2</v>
      </c>
      <c r="AF47" s="80" t="s">
        <v>519</v>
      </c>
      <c r="AG47" s="115"/>
      <c r="AH47" s="82"/>
      <c r="AI47" s="115"/>
      <c r="AJ47" s="82"/>
      <c r="AK47" s="115"/>
      <c r="AL47" s="82"/>
      <c r="AM47" s="21" t="s">
        <v>520</v>
      </c>
      <c r="AN47" s="132">
        <v>0.1</v>
      </c>
      <c r="AO47" s="270"/>
      <c r="AP47" s="255"/>
      <c r="AQ47" s="255"/>
      <c r="AR47" s="253" t="s">
        <v>1353</v>
      </c>
      <c r="AS47" s="340" t="str">
        <f t="shared" si="17"/>
        <v>ACCIÓN CORRECTIVA</v>
      </c>
      <c r="AT47" s="30">
        <f t="shared" si="2"/>
        <v>16.035739743709033</v>
      </c>
      <c r="AU47" s="30">
        <f t="shared" si="1"/>
        <v>31.336917562724015</v>
      </c>
      <c r="AV47" s="1"/>
      <c r="AW47" s="31">
        <f t="shared" si="3"/>
        <v>51</v>
      </c>
      <c r="AX47" s="31">
        <f t="shared" si="4"/>
        <v>61</v>
      </c>
      <c r="AY47" s="31">
        <f t="shared" si="5"/>
        <v>33</v>
      </c>
      <c r="AZ47" s="31">
        <f t="shared" si="6"/>
        <v>-0.29918032786885251</v>
      </c>
      <c r="BA47" s="31">
        <f t="shared" si="7"/>
        <v>-0.21245421245421248</v>
      </c>
      <c r="BB47" s="31">
        <f t="shared" si="8"/>
        <v>-6.7615658362989328E-2</v>
      </c>
      <c r="BC47" s="31">
        <f t="shared" si="9"/>
        <v>-2.2580645161290325E-2</v>
      </c>
      <c r="BD47" s="31">
        <f t="shared" si="10"/>
        <v>-8.7264150943396235E-2</v>
      </c>
      <c r="BE47" s="31">
        <f t="shared" si="11"/>
        <v>1.0752688172043001E-2</v>
      </c>
      <c r="BF47" s="31">
        <f t="shared" si="12"/>
        <v>0</v>
      </c>
      <c r="BG47" s="31">
        <f t="shared" si="13"/>
        <v>0</v>
      </c>
      <c r="BH47" s="31">
        <f t="shared" si="14"/>
        <v>0</v>
      </c>
    </row>
    <row r="48" spans="1:60" ht="136.5" customHeight="1" x14ac:dyDescent="0.2">
      <c r="A48" s="78" t="s">
        <v>317</v>
      </c>
      <c r="B48" s="407"/>
      <c r="C48" s="124" t="s">
        <v>502</v>
      </c>
      <c r="D48" s="125"/>
      <c r="E48" s="20" t="s">
        <v>504</v>
      </c>
      <c r="F48" s="126" t="s">
        <v>521</v>
      </c>
      <c r="G48" s="127" t="s">
        <v>522</v>
      </c>
      <c r="H48" s="127" t="s">
        <v>523</v>
      </c>
      <c r="I48" s="128" t="s">
        <v>62</v>
      </c>
      <c r="J48" s="128" t="s">
        <v>524</v>
      </c>
      <c r="K48" s="128" t="s">
        <v>509</v>
      </c>
      <c r="L48" s="22" t="s">
        <v>510</v>
      </c>
      <c r="M48" s="21" t="s">
        <v>51</v>
      </c>
      <c r="N48" s="21" t="s">
        <v>51</v>
      </c>
      <c r="O48" s="21">
        <v>167</v>
      </c>
      <c r="P48" s="80" t="s">
        <v>525</v>
      </c>
      <c r="Q48" s="21">
        <v>506</v>
      </c>
      <c r="R48" s="80" t="s">
        <v>525</v>
      </c>
      <c r="S48" s="129">
        <v>562</v>
      </c>
      <c r="T48" s="80" t="s">
        <v>526</v>
      </c>
      <c r="U48" s="133">
        <f>(106/106)*100</f>
        <v>100</v>
      </c>
      <c r="V48" s="80" t="s">
        <v>526</v>
      </c>
      <c r="W48" s="133">
        <f>(109/109)*100</f>
        <v>100</v>
      </c>
      <c r="X48" s="80" t="s">
        <v>526</v>
      </c>
      <c r="Y48" s="133">
        <f>(89/89)*100</f>
        <v>100</v>
      </c>
      <c r="Z48" s="80" t="s">
        <v>526</v>
      </c>
      <c r="AA48" s="133">
        <f>(85/85)*100</f>
        <v>100</v>
      </c>
      <c r="AB48" s="80" t="s">
        <v>526</v>
      </c>
      <c r="AC48" s="133">
        <f>(92/92)*100</f>
        <v>100</v>
      </c>
      <c r="AD48" s="80" t="s">
        <v>526</v>
      </c>
      <c r="AE48" s="134">
        <f>(55/55)*100</f>
        <v>100</v>
      </c>
      <c r="AF48" s="80" t="s">
        <v>526</v>
      </c>
      <c r="AG48" s="115"/>
      <c r="AH48" s="313"/>
      <c r="AI48" s="115"/>
      <c r="AJ48" s="313"/>
      <c r="AK48" s="115"/>
      <c r="AL48" s="313"/>
      <c r="AM48" s="21">
        <v>0</v>
      </c>
      <c r="AN48" s="21" t="s">
        <v>527</v>
      </c>
      <c r="AO48" s="270"/>
      <c r="AP48" s="255"/>
      <c r="AQ48" s="255"/>
      <c r="AR48" s="253" t="s">
        <v>1353</v>
      </c>
      <c r="AS48" s="340" t="str">
        <f t="shared" si="17"/>
        <v>ACCIÓN CORRECTIVA</v>
      </c>
      <c r="AT48" s="30">
        <f t="shared" si="2"/>
        <v>203.88888888888889</v>
      </c>
      <c r="AU48" s="30">
        <f t="shared" si="1"/>
        <v>208.5</v>
      </c>
      <c r="AV48" s="1"/>
      <c r="AW48" s="31">
        <f t="shared" si="3"/>
        <v>167</v>
      </c>
      <c r="AX48" s="31">
        <f t="shared" si="4"/>
        <v>506</v>
      </c>
      <c r="AY48" s="31">
        <f t="shared" si="5"/>
        <v>562</v>
      </c>
      <c r="AZ48" s="31">
        <f t="shared" si="6"/>
        <v>100</v>
      </c>
      <c r="BA48" s="31">
        <f t="shared" si="7"/>
        <v>100</v>
      </c>
      <c r="BB48" s="31">
        <f t="shared" si="8"/>
        <v>100</v>
      </c>
      <c r="BC48" s="31">
        <f t="shared" si="9"/>
        <v>100</v>
      </c>
      <c r="BD48" s="31">
        <f t="shared" si="10"/>
        <v>100</v>
      </c>
      <c r="BE48" s="31">
        <f t="shared" si="11"/>
        <v>100</v>
      </c>
      <c r="BF48" s="31">
        <f t="shared" si="12"/>
        <v>0</v>
      </c>
      <c r="BG48" s="31">
        <f t="shared" si="13"/>
        <v>0</v>
      </c>
      <c r="BH48" s="31">
        <f t="shared" si="14"/>
        <v>0</v>
      </c>
    </row>
    <row r="49" spans="1:60" ht="135" customHeight="1" x14ac:dyDescent="0.2">
      <c r="A49" s="78" t="s">
        <v>317</v>
      </c>
      <c r="B49" s="407"/>
      <c r="C49" s="124" t="s">
        <v>502</v>
      </c>
      <c r="D49" s="125"/>
      <c r="E49" s="20" t="s">
        <v>504</v>
      </c>
      <c r="F49" s="126" t="s">
        <v>528</v>
      </c>
      <c r="G49" s="127" t="s">
        <v>529</v>
      </c>
      <c r="H49" s="300" t="s">
        <v>530</v>
      </c>
      <c r="I49" s="128" t="s">
        <v>47</v>
      </c>
      <c r="J49" s="128" t="s">
        <v>531</v>
      </c>
      <c r="K49" s="128" t="s">
        <v>509</v>
      </c>
      <c r="L49" s="22" t="s">
        <v>510</v>
      </c>
      <c r="M49" s="135" t="s">
        <v>532</v>
      </c>
      <c r="N49" s="21" t="s">
        <v>533</v>
      </c>
      <c r="O49" s="21">
        <v>0</v>
      </c>
      <c r="P49" s="80"/>
      <c r="Q49" s="21">
        <v>0</v>
      </c>
      <c r="R49" s="80"/>
      <c r="S49" s="129">
        <v>0</v>
      </c>
      <c r="T49" s="80"/>
      <c r="U49" s="59" t="s">
        <v>85</v>
      </c>
      <c r="V49" s="306" t="s">
        <v>85</v>
      </c>
      <c r="W49" s="59" t="s">
        <v>85</v>
      </c>
      <c r="X49" s="306" t="s">
        <v>85</v>
      </c>
      <c r="Y49" s="71">
        <f>1/2*100%</f>
        <v>0.5</v>
      </c>
      <c r="Z49" s="87" t="s">
        <v>534</v>
      </c>
      <c r="AA49" s="59" t="s">
        <v>85</v>
      </c>
      <c r="AB49" s="306" t="s">
        <v>85</v>
      </c>
      <c r="AC49" s="59" t="s">
        <v>85</v>
      </c>
      <c r="AD49" s="306" t="s">
        <v>85</v>
      </c>
      <c r="AE49" s="59" t="s">
        <v>85</v>
      </c>
      <c r="AF49" s="306" t="s">
        <v>85</v>
      </c>
      <c r="AG49" s="115"/>
      <c r="AH49" s="313"/>
      <c r="AI49" s="115"/>
      <c r="AJ49" s="313"/>
      <c r="AK49" s="115"/>
      <c r="AL49" s="313"/>
      <c r="AM49" s="21">
        <v>0</v>
      </c>
      <c r="AN49" s="136">
        <v>1</v>
      </c>
      <c r="AO49" s="270"/>
      <c r="AP49" s="255"/>
      <c r="AQ49" s="255"/>
      <c r="AR49" s="253" t="s">
        <v>1353</v>
      </c>
      <c r="AS49" s="340" t="str">
        <f t="shared" si="17"/>
        <v>ACCIÓN CORRECTIVA</v>
      </c>
      <c r="AT49" s="30">
        <f t="shared" si="2"/>
        <v>0.125</v>
      </c>
      <c r="AU49" s="30">
        <f t="shared" si="1"/>
        <v>0.5</v>
      </c>
      <c r="AV49" s="1"/>
      <c r="AW49" s="31">
        <f t="shared" si="3"/>
        <v>0</v>
      </c>
      <c r="AX49" s="31">
        <f t="shared" si="4"/>
        <v>0</v>
      </c>
      <c r="AY49" s="31">
        <f t="shared" si="5"/>
        <v>0</v>
      </c>
      <c r="AZ49" s="31" t="str">
        <f t="shared" si="6"/>
        <v>NA</v>
      </c>
      <c r="BA49" s="31" t="str">
        <f t="shared" si="7"/>
        <v>NA</v>
      </c>
      <c r="BB49" s="31">
        <f t="shared" si="8"/>
        <v>0.5</v>
      </c>
      <c r="BC49" s="31" t="str">
        <f t="shared" si="9"/>
        <v>NA</v>
      </c>
      <c r="BD49" s="31" t="str">
        <f t="shared" si="10"/>
        <v>NA</v>
      </c>
      <c r="BE49" s="31" t="str">
        <f t="shared" si="11"/>
        <v>NA</v>
      </c>
      <c r="BF49" s="31">
        <f t="shared" si="12"/>
        <v>0</v>
      </c>
      <c r="BG49" s="31">
        <f t="shared" si="13"/>
        <v>0</v>
      </c>
      <c r="BH49" s="31">
        <f t="shared" si="14"/>
        <v>0</v>
      </c>
    </row>
    <row r="50" spans="1:60" ht="140.25" customHeight="1" x14ac:dyDescent="0.2">
      <c r="A50" s="78" t="s">
        <v>317</v>
      </c>
      <c r="B50" s="407"/>
      <c r="C50" s="124" t="s">
        <v>502</v>
      </c>
      <c r="D50" s="125"/>
      <c r="E50" s="20" t="s">
        <v>504</v>
      </c>
      <c r="F50" s="21" t="s">
        <v>535</v>
      </c>
      <c r="G50" s="37" t="s">
        <v>536</v>
      </c>
      <c r="H50" s="80" t="s">
        <v>537</v>
      </c>
      <c r="I50" s="128" t="s">
        <v>47</v>
      </c>
      <c r="J50" s="128" t="s">
        <v>538</v>
      </c>
      <c r="K50" s="128" t="s">
        <v>509</v>
      </c>
      <c r="L50" s="137" t="s">
        <v>539</v>
      </c>
      <c r="M50" s="21" t="s">
        <v>51</v>
      </c>
      <c r="N50" s="21" t="s">
        <v>51</v>
      </c>
      <c r="O50" s="21">
        <v>0</v>
      </c>
      <c r="P50" s="80"/>
      <c r="Q50" s="21">
        <v>0</v>
      </c>
      <c r="R50" s="80"/>
      <c r="S50" s="21">
        <v>0</v>
      </c>
      <c r="T50" s="80"/>
      <c r="U50" s="59" t="s">
        <v>85</v>
      </c>
      <c r="V50" s="306" t="s">
        <v>85</v>
      </c>
      <c r="W50" s="59" t="s">
        <v>85</v>
      </c>
      <c r="X50" s="306" t="s">
        <v>85</v>
      </c>
      <c r="Y50" s="71">
        <f>15377903306/19275845628</f>
        <v>0.79778099507406985</v>
      </c>
      <c r="Z50" s="87" t="s">
        <v>540</v>
      </c>
      <c r="AA50" s="59" t="s">
        <v>85</v>
      </c>
      <c r="AB50" s="306" t="s">
        <v>85</v>
      </c>
      <c r="AC50" s="59" t="s">
        <v>85</v>
      </c>
      <c r="AD50" s="306" t="s">
        <v>85</v>
      </c>
      <c r="AE50" s="60">
        <f>20913532479/26979427496*100%</f>
        <v>0.77516591047384764</v>
      </c>
      <c r="AF50" s="87" t="s">
        <v>541</v>
      </c>
      <c r="AG50" s="115"/>
      <c r="AH50" s="313"/>
      <c r="AI50" s="115"/>
      <c r="AJ50" s="313"/>
      <c r="AK50" s="115"/>
      <c r="AL50" s="313"/>
      <c r="AM50" s="136">
        <v>0</v>
      </c>
      <c r="AN50" s="136">
        <v>1</v>
      </c>
      <c r="AO50" s="270"/>
      <c r="AP50" s="255"/>
      <c r="AQ50" s="255"/>
      <c r="AR50" s="253" t="s">
        <v>1353</v>
      </c>
      <c r="AS50" s="340" t="str">
        <f t="shared" si="17"/>
        <v>ACCIÓN CORRECTIVA</v>
      </c>
      <c r="AT50" s="30">
        <f t="shared" si="2"/>
        <v>0.31458938110958351</v>
      </c>
      <c r="AU50" s="30">
        <f t="shared" si="1"/>
        <v>0.78647345277395875</v>
      </c>
      <c r="AV50" s="1"/>
      <c r="AW50" s="31">
        <f t="shared" si="3"/>
        <v>0</v>
      </c>
      <c r="AX50" s="31">
        <f t="shared" si="4"/>
        <v>0</v>
      </c>
      <c r="AY50" s="31">
        <f t="shared" si="5"/>
        <v>0</v>
      </c>
      <c r="AZ50" s="31" t="str">
        <f t="shared" si="6"/>
        <v>NA</v>
      </c>
      <c r="BA50" s="31" t="str">
        <f t="shared" si="7"/>
        <v>NA</v>
      </c>
      <c r="BB50" s="31">
        <f t="shared" si="8"/>
        <v>0.79778099507406985</v>
      </c>
      <c r="BC50" s="31" t="str">
        <f t="shared" si="9"/>
        <v>NA</v>
      </c>
      <c r="BD50" s="31" t="str">
        <f t="shared" si="10"/>
        <v>NA</v>
      </c>
      <c r="BE50" s="31">
        <f t="shared" si="11"/>
        <v>0.77516591047384764</v>
      </c>
      <c r="BF50" s="31">
        <f t="shared" si="12"/>
        <v>0</v>
      </c>
      <c r="BG50" s="31">
        <f t="shared" si="13"/>
        <v>0</v>
      </c>
      <c r="BH50" s="31">
        <f t="shared" si="14"/>
        <v>0</v>
      </c>
    </row>
    <row r="51" spans="1:60" ht="129" customHeight="1" x14ac:dyDescent="0.2">
      <c r="A51" s="78" t="s">
        <v>317</v>
      </c>
      <c r="B51" s="407"/>
      <c r="C51" s="124" t="s">
        <v>502</v>
      </c>
      <c r="D51" s="125"/>
      <c r="E51" s="20" t="s">
        <v>504</v>
      </c>
      <c r="F51" s="21" t="s">
        <v>542</v>
      </c>
      <c r="G51" s="127" t="s">
        <v>543</v>
      </c>
      <c r="H51" s="80" t="s">
        <v>544</v>
      </c>
      <c r="I51" s="128" t="s">
        <v>62</v>
      </c>
      <c r="J51" s="128" t="s">
        <v>545</v>
      </c>
      <c r="K51" s="128" t="s">
        <v>509</v>
      </c>
      <c r="L51" s="137" t="s">
        <v>546</v>
      </c>
      <c r="M51" s="135" t="s">
        <v>547</v>
      </c>
      <c r="N51" s="21" t="s">
        <v>533</v>
      </c>
      <c r="O51" s="21">
        <v>0</v>
      </c>
      <c r="P51" s="80"/>
      <c r="Q51" s="21">
        <v>0</v>
      </c>
      <c r="R51" s="80"/>
      <c r="S51" s="21">
        <v>0</v>
      </c>
      <c r="T51" s="80"/>
      <c r="U51" s="59" t="s">
        <v>85</v>
      </c>
      <c r="V51" s="306" t="s">
        <v>85</v>
      </c>
      <c r="W51" s="59" t="s">
        <v>85</v>
      </c>
      <c r="X51" s="306" t="s">
        <v>85</v>
      </c>
      <c r="Y51" s="138">
        <f>11534321832/11534112571</f>
        <v>1.0000181427915422</v>
      </c>
      <c r="Z51" s="87" t="s">
        <v>548</v>
      </c>
      <c r="AA51" s="59" t="s">
        <v>85</v>
      </c>
      <c r="AB51" s="306" t="s">
        <v>85</v>
      </c>
      <c r="AC51" s="59" t="s">
        <v>85</v>
      </c>
      <c r="AD51" s="306" t="s">
        <v>85</v>
      </c>
      <c r="AE51" s="59" t="s">
        <v>85</v>
      </c>
      <c r="AF51" s="306" t="s">
        <v>85</v>
      </c>
      <c r="AG51" s="115"/>
      <c r="AH51" s="313"/>
      <c r="AI51" s="115"/>
      <c r="AJ51" s="313"/>
      <c r="AK51" s="115"/>
      <c r="AL51" s="313"/>
      <c r="AM51" s="21">
        <v>0</v>
      </c>
      <c r="AN51" s="136">
        <v>1</v>
      </c>
      <c r="AO51" s="270"/>
      <c r="AP51" s="255"/>
      <c r="AQ51" s="255"/>
      <c r="AR51" s="253" t="s">
        <v>1353</v>
      </c>
      <c r="AS51" s="340" t="str">
        <f t="shared" si="17"/>
        <v>ACCIÓN CORRECTIVA</v>
      </c>
      <c r="AT51" s="30">
        <f t="shared" si="2"/>
        <v>0.25000453569788555</v>
      </c>
      <c r="AU51" s="30">
        <f t="shared" si="1"/>
        <v>1.0000181427915422</v>
      </c>
      <c r="AV51" s="1"/>
      <c r="AW51" s="31">
        <f t="shared" si="3"/>
        <v>0</v>
      </c>
      <c r="AX51" s="31">
        <f t="shared" si="4"/>
        <v>0</v>
      </c>
      <c r="AY51" s="31">
        <f t="shared" si="5"/>
        <v>0</v>
      </c>
      <c r="AZ51" s="31" t="str">
        <f t="shared" si="6"/>
        <v>NA</v>
      </c>
      <c r="BA51" s="31" t="str">
        <f t="shared" si="7"/>
        <v>NA</v>
      </c>
      <c r="BB51" s="31">
        <f t="shared" si="8"/>
        <v>1.0000181427915422</v>
      </c>
      <c r="BC51" s="31" t="str">
        <f t="shared" si="9"/>
        <v>NA</v>
      </c>
      <c r="BD51" s="31" t="str">
        <f t="shared" si="10"/>
        <v>NA</v>
      </c>
      <c r="BE51" s="31" t="str">
        <f t="shared" si="11"/>
        <v>NA</v>
      </c>
      <c r="BF51" s="31">
        <f t="shared" si="12"/>
        <v>0</v>
      </c>
      <c r="BG51" s="31">
        <f t="shared" si="13"/>
        <v>0</v>
      </c>
      <c r="BH51" s="31">
        <f t="shared" si="14"/>
        <v>0</v>
      </c>
    </row>
    <row r="52" spans="1:60" ht="155.25" customHeight="1" x14ac:dyDescent="0.2">
      <c r="A52" s="78" t="s">
        <v>317</v>
      </c>
      <c r="B52" s="407"/>
      <c r="C52" s="124" t="s">
        <v>502</v>
      </c>
      <c r="D52" s="125" t="s">
        <v>549</v>
      </c>
      <c r="E52" s="20" t="s">
        <v>105</v>
      </c>
      <c r="F52" s="21" t="s">
        <v>550</v>
      </c>
      <c r="G52" s="37" t="s">
        <v>551</v>
      </c>
      <c r="H52" s="80" t="s">
        <v>552</v>
      </c>
      <c r="I52" s="128" t="s">
        <v>62</v>
      </c>
      <c r="J52" s="128" t="s">
        <v>553</v>
      </c>
      <c r="K52" s="128" t="s">
        <v>509</v>
      </c>
      <c r="L52" s="137" t="s">
        <v>554</v>
      </c>
      <c r="M52" s="21" t="s">
        <v>265</v>
      </c>
      <c r="N52" s="21" t="s">
        <v>265</v>
      </c>
      <c r="O52" s="21">
        <v>0</v>
      </c>
      <c r="P52" s="80"/>
      <c r="Q52" s="21">
        <v>0</v>
      </c>
      <c r="R52" s="80"/>
      <c r="S52" s="21">
        <v>0</v>
      </c>
      <c r="T52" s="80"/>
      <c r="U52" s="59" t="s">
        <v>85</v>
      </c>
      <c r="V52" s="306" t="s">
        <v>85</v>
      </c>
      <c r="W52" s="59" t="s">
        <v>85</v>
      </c>
      <c r="X52" s="306" t="s">
        <v>85</v>
      </c>
      <c r="Y52" s="59" t="s">
        <v>85</v>
      </c>
      <c r="Z52" s="306" t="s">
        <v>85</v>
      </c>
      <c r="AA52" s="59" t="s">
        <v>85</v>
      </c>
      <c r="AB52" s="306" t="s">
        <v>85</v>
      </c>
      <c r="AC52" s="59" t="s">
        <v>85</v>
      </c>
      <c r="AD52" s="306" t="s">
        <v>85</v>
      </c>
      <c r="AE52" s="59" t="s">
        <v>85</v>
      </c>
      <c r="AF52" s="306" t="s">
        <v>85</v>
      </c>
      <c r="AG52" s="115"/>
      <c r="AH52" s="313"/>
      <c r="AI52" s="115"/>
      <c r="AJ52" s="313"/>
      <c r="AK52" s="115"/>
      <c r="AL52" s="313"/>
      <c r="AM52" s="21" t="s">
        <v>555</v>
      </c>
      <c r="AN52" s="136">
        <v>1</v>
      </c>
      <c r="AO52" s="270"/>
      <c r="AP52" s="255"/>
      <c r="AQ52" s="255"/>
      <c r="AR52" s="253" t="s">
        <v>1353</v>
      </c>
      <c r="AS52" s="340" t="str">
        <f t="shared" si="17"/>
        <v>ACCIÓN CORRECTIVA</v>
      </c>
      <c r="AT52" s="30">
        <f t="shared" si="2"/>
        <v>0</v>
      </c>
      <c r="AU52" s="30">
        <f t="shared" si="1"/>
        <v>0</v>
      </c>
      <c r="AV52" s="1"/>
      <c r="AW52" s="31">
        <f t="shared" si="3"/>
        <v>0</v>
      </c>
      <c r="AX52" s="31">
        <f t="shared" si="4"/>
        <v>0</v>
      </c>
      <c r="AY52" s="31">
        <f t="shared" si="5"/>
        <v>0</v>
      </c>
      <c r="AZ52" s="31" t="str">
        <f t="shared" si="6"/>
        <v>NA</v>
      </c>
      <c r="BA52" s="31" t="str">
        <f t="shared" si="7"/>
        <v>NA</v>
      </c>
      <c r="BB52" s="31" t="str">
        <f t="shared" si="8"/>
        <v>NA</v>
      </c>
      <c r="BC52" s="31" t="str">
        <f t="shared" si="9"/>
        <v>NA</v>
      </c>
      <c r="BD52" s="31" t="str">
        <f t="shared" si="10"/>
        <v>NA</v>
      </c>
      <c r="BE52" s="31" t="str">
        <f t="shared" si="11"/>
        <v>NA</v>
      </c>
      <c r="BF52" s="31">
        <f t="shared" si="12"/>
        <v>0</v>
      </c>
      <c r="BG52" s="31">
        <f t="shared" si="13"/>
        <v>0</v>
      </c>
      <c r="BH52" s="31">
        <f t="shared" si="14"/>
        <v>0</v>
      </c>
    </row>
    <row r="53" spans="1:60" ht="135" customHeight="1" x14ac:dyDescent="0.2">
      <c r="A53" s="78" t="s">
        <v>317</v>
      </c>
      <c r="B53" s="407"/>
      <c r="C53" s="124" t="s">
        <v>502</v>
      </c>
      <c r="D53" s="125"/>
      <c r="E53" s="20" t="s">
        <v>105</v>
      </c>
      <c r="F53" s="21" t="s">
        <v>556</v>
      </c>
      <c r="G53" s="37" t="s">
        <v>557</v>
      </c>
      <c r="H53" s="80" t="s">
        <v>558</v>
      </c>
      <c r="I53" s="128" t="s">
        <v>62</v>
      </c>
      <c r="J53" s="128" t="s">
        <v>559</v>
      </c>
      <c r="K53" s="128" t="s">
        <v>560</v>
      </c>
      <c r="L53" s="137" t="s">
        <v>554</v>
      </c>
      <c r="M53" s="21" t="s">
        <v>265</v>
      </c>
      <c r="N53" s="21" t="s">
        <v>265</v>
      </c>
      <c r="O53" s="21">
        <v>0</v>
      </c>
      <c r="P53" s="80"/>
      <c r="Q53" s="21">
        <v>0</v>
      </c>
      <c r="R53" s="80"/>
      <c r="S53" s="21">
        <v>0</v>
      </c>
      <c r="T53" s="80"/>
      <c r="U53" s="59" t="s">
        <v>85</v>
      </c>
      <c r="V53" s="306" t="s">
        <v>85</v>
      </c>
      <c r="W53" s="59" t="s">
        <v>85</v>
      </c>
      <c r="X53" s="306" t="s">
        <v>85</v>
      </c>
      <c r="Y53" s="59" t="s">
        <v>85</v>
      </c>
      <c r="Z53" s="306" t="s">
        <v>85</v>
      </c>
      <c r="AA53" s="59" t="s">
        <v>85</v>
      </c>
      <c r="AB53" s="306" t="s">
        <v>85</v>
      </c>
      <c r="AC53" s="59" t="s">
        <v>85</v>
      </c>
      <c r="AD53" s="306" t="s">
        <v>85</v>
      </c>
      <c r="AE53" s="59" t="s">
        <v>85</v>
      </c>
      <c r="AF53" s="313"/>
      <c r="AG53" s="115"/>
      <c r="AH53" s="313"/>
      <c r="AI53" s="115"/>
      <c r="AJ53" s="313"/>
      <c r="AK53" s="115"/>
      <c r="AL53" s="313"/>
      <c r="AM53" s="21" t="s">
        <v>555</v>
      </c>
      <c r="AN53" s="136">
        <v>1</v>
      </c>
      <c r="AO53" s="270"/>
      <c r="AP53" s="255"/>
      <c r="AQ53" s="255"/>
      <c r="AR53" s="253" t="s">
        <v>1353</v>
      </c>
      <c r="AS53" s="340" t="str">
        <f t="shared" si="17"/>
        <v>ACCIÓN CORRECTIVA</v>
      </c>
      <c r="AT53" s="30">
        <f t="shared" si="2"/>
        <v>0</v>
      </c>
      <c r="AU53" s="30">
        <f t="shared" si="1"/>
        <v>0</v>
      </c>
      <c r="AV53" s="1"/>
      <c r="AW53" s="31">
        <f t="shared" si="3"/>
        <v>0</v>
      </c>
      <c r="AX53" s="31">
        <f t="shared" si="4"/>
        <v>0</v>
      </c>
      <c r="AY53" s="31">
        <f t="shared" si="5"/>
        <v>0</v>
      </c>
      <c r="AZ53" s="31" t="str">
        <f t="shared" si="6"/>
        <v>NA</v>
      </c>
      <c r="BA53" s="31" t="str">
        <f t="shared" si="7"/>
        <v>NA</v>
      </c>
      <c r="BB53" s="31" t="str">
        <f t="shared" si="8"/>
        <v>NA</v>
      </c>
      <c r="BC53" s="31" t="str">
        <f t="shared" si="9"/>
        <v>NA</v>
      </c>
      <c r="BD53" s="31" t="str">
        <f t="shared" si="10"/>
        <v>NA</v>
      </c>
      <c r="BE53" s="31" t="str">
        <f t="shared" si="11"/>
        <v>NA</v>
      </c>
      <c r="BF53" s="31">
        <f t="shared" si="12"/>
        <v>0</v>
      </c>
      <c r="BG53" s="31">
        <f t="shared" si="13"/>
        <v>0</v>
      </c>
      <c r="BH53" s="31">
        <f t="shared" si="14"/>
        <v>0</v>
      </c>
    </row>
    <row r="54" spans="1:60" ht="165.75" customHeight="1" x14ac:dyDescent="0.2">
      <c r="A54" s="78" t="s">
        <v>317</v>
      </c>
      <c r="B54" s="407"/>
      <c r="C54" s="124" t="s">
        <v>502</v>
      </c>
      <c r="D54" s="125" t="s">
        <v>561</v>
      </c>
      <c r="E54" s="20" t="s">
        <v>562</v>
      </c>
      <c r="F54" s="126" t="s">
        <v>563</v>
      </c>
      <c r="G54" s="42" t="s">
        <v>564</v>
      </c>
      <c r="H54" s="42" t="s">
        <v>565</v>
      </c>
      <c r="I54" s="128" t="s">
        <v>47</v>
      </c>
      <c r="J54" s="23" t="s">
        <v>566</v>
      </c>
      <c r="K54" s="128" t="s">
        <v>509</v>
      </c>
      <c r="L54" s="22" t="s">
        <v>510</v>
      </c>
      <c r="M54" s="21" t="s">
        <v>51</v>
      </c>
      <c r="N54" s="21" t="s">
        <v>51</v>
      </c>
      <c r="O54" s="139">
        <v>303059965</v>
      </c>
      <c r="P54" s="80" t="s">
        <v>567</v>
      </c>
      <c r="Q54" s="139">
        <v>434171743</v>
      </c>
      <c r="R54" s="80" t="s">
        <v>568</v>
      </c>
      <c r="S54" s="139">
        <v>1555509022</v>
      </c>
      <c r="T54" s="42" t="s">
        <v>569</v>
      </c>
      <c r="U54" s="130">
        <f>+(406679962/3058542402)*100%</f>
        <v>0.13296528494555754</v>
      </c>
      <c r="V54" s="42" t="s">
        <v>570</v>
      </c>
      <c r="W54" s="130">
        <f>+(338881121/2351158967)*100%</f>
        <v>0.14413364887547392</v>
      </c>
      <c r="X54" s="42" t="s">
        <v>571</v>
      </c>
      <c r="Y54" s="130">
        <f>+(254468761/9846968789)*100%</f>
        <v>2.5842344629371201E-2</v>
      </c>
      <c r="Z54" s="42" t="s">
        <v>572</v>
      </c>
      <c r="AA54" s="130">
        <f>+(251897237/2110517214)*100%</f>
        <v>0.11935332028047604</v>
      </c>
      <c r="AB54" s="42" t="s">
        <v>573</v>
      </c>
      <c r="AC54" s="130">
        <f>+(321165292/2536662895)*100%</f>
        <v>0.12660937037910983</v>
      </c>
      <c r="AD54" s="42" t="s">
        <v>574</v>
      </c>
      <c r="AE54" s="130">
        <f>+(669298488/4803523416)*100%</f>
        <v>0.13933490690825853</v>
      </c>
      <c r="AF54" s="42" t="s">
        <v>575</v>
      </c>
      <c r="AG54" s="115"/>
      <c r="AH54" s="313"/>
      <c r="AI54" s="115"/>
      <c r="AJ54" s="313"/>
      <c r="AK54" s="115"/>
      <c r="AL54" s="313"/>
      <c r="AM54" s="24" t="s">
        <v>576</v>
      </c>
      <c r="AN54" s="24" t="s">
        <v>577</v>
      </c>
      <c r="AO54" s="270"/>
      <c r="AP54" s="255"/>
      <c r="AQ54" s="256"/>
      <c r="AR54" s="253" t="s">
        <v>1353</v>
      </c>
      <c r="AS54" s="340" t="str">
        <f t="shared" si="17"/>
        <v>ACCIÓN CORRECTIVA</v>
      </c>
      <c r="AT54" s="30">
        <f t="shared" si="2"/>
        <v>254748970.07647091</v>
      </c>
      <c r="AU54" s="30">
        <f t="shared" si="1"/>
        <v>248710095.71102986</v>
      </c>
      <c r="AV54" s="1"/>
      <c r="AW54" s="31">
        <f t="shared" si="3"/>
        <v>303059965</v>
      </c>
      <c r="AX54" s="31">
        <f t="shared" si="4"/>
        <v>434171743</v>
      </c>
      <c r="AY54" s="31">
        <f t="shared" si="5"/>
        <v>1555509022</v>
      </c>
      <c r="AZ54" s="31">
        <f t="shared" si="6"/>
        <v>0.13296528494555754</v>
      </c>
      <c r="BA54" s="31">
        <f t="shared" si="7"/>
        <v>0.14413364887547392</v>
      </c>
      <c r="BB54" s="31">
        <f t="shared" si="8"/>
        <v>2.5842344629371201E-2</v>
      </c>
      <c r="BC54" s="31">
        <f t="shared" si="9"/>
        <v>0.11935332028047604</v>
      </c>
      <c r="BD54" s="31">
        <f t="shared" si="10"/>
        <v>0.12660937037910983</v>
      </c>
      <c r="BE54" s="31">
        <f t="shared" si="11"/>
        <v>0.13933490690825853</v>
      </c>
      <c r="BF54" s="31">
        <f t="shared" si="12"/>
        <v>0</v>
      </c>
      <c r="BG54" s="31">
        <f t="shared" si="13"/>
        <v>0</v>
      </c>
      <c r="BH54" s="31">
        <f t="shared" si="14"/>
        <v>0</v>
      </c>
    </row>
    <row r="55" spans="1:60" ht="141.75" customHeight="1" x14ac:dyDescent="0.2">
      <c r="A55" s="78" t="s">
        <v>317</v>
      </c>
      <c r="B55" s="407"/>
      <c r="C55" s="124" t="s">
        <v>502</v>
      </c>
      <c r="D55" s="125"/>
      <c r="E55" s="20" t="s">
        <v>562</v>
      </c>
      <c r="F55" s="21" t="s">
        <v>578</v>
      </c>
      <c r="G55" s="37" t="s">
        <v>579</v>
      </c>
      <c r="H55" s="80" t="s">
        <v>580</v>
      </c>
      <c r="I55" s="128" t="s">
        <v>47</v>
      </c>
      <c r="J55" s="128" t="s">
        <v>581</v>
      </c>
      <c r="K55" s="128" t="s">
        <v>582</v>
      </c>
      <c r="L55" s="137" t="s">
        <v>583</v>
      </c>
      <c r="M55" s="21" t="s">
        <v>51</v>
      </c>
      <c r="N55" s="21" t="s">
        <v>51</v>
      </c>
      <c r="O55" s="21">
        <v>457</v>
      </c>
      <c r="P55" s="80" t="s">
        <v>584</v>
      </c>
      <c r="Q55" s="21">
        <v>858</v>
      </c>
      <c r="R55" s="80" t="s">
        <v>585</v>
      </c>
      <c r="S55" s="21">
        <v>635</v>
      </c>
      <c r="T55" s="80" t="s">
        <v>586</v>
      </c>
      <c r="U55" s="130">
        <f>(2993/2421)-1</f>
        <v>0.23626600578273438</v>
      </c>
      <c r="V55" s="80" t="s">
        <v>587</v>
      </c>
      <c r="W55" s="130">
        <f>(3915/3348)-1</f>
        <v>0.16935483870967749</v>
      </c>
      <c r="X55" s="80" t="s">
        <v>588</v>
      </c>
      <c r="Y55" s="130">
        <f>(4545/4389)-1</f>
        <v>3.5543403964456655E-2</v>
      </c>
      <c r="Z55" s="42" t="s">
        <v>589</v>
      </c>
      <c r="AA55" s="130">
        <f>(5103/4992)-1</f>
        <v>2.2235576923076872E-2</v>
      </c>
      <c r="AB55" s="80" t="s">
        <v>590</v>
      </c>
      <c r="AC55" s="130">
        <f>(5752/6063)-1</f>
        <v>-5.1294738578261612E-2</v>
      </c>
      <c r="AD55" s="80" t="s">
        <v>591</v>
      </c>
      <c r="AE55" s="131">
        <f>(6456/7006)-1</f>
        <v>-7.8504139309163556E-2</v>
      </c>
      <c r="AF55" s="42" t="s">
        <v>592</v>
      </c>
      <c r="AG55" s="115"/>
      <c r="AH55" s="313"/>
      <c r="AI55" s="115"/>
      <c r="AJ55" s="313"/>
      <c r="AK55" s="115"/>
      <c r="AL55" s="313"/>
      <c r="AM55" s="135" t="s">
        <v>593</v>
      </c>
      <c r="AN55" s="136">
        <v>1</v>
      </c>
      <c r="AO55" s="270"/>
      <c r="AP55" s="255"/>
      <c r="AQ55" s="255"/>
      <c r="AR55" s="253" t="s">
        <v>1353</v>
      </c>
      <c r="AS55" s="340" t="str">
        <f t="shared" si="17"/>
        <v>ACCIÓN CORRECTIVA</v>
      </c>
      <c r="AT55" s="30">
        <f t="shared" si="2"/>
        <v>216.7037334386103</v>
      </c>
      <c r="AU55" s="30">
        <f t="shared" si="1"/>
        <v>248.91056663756333</v>
      </c>
      <c r="AV55" s="1"/>
      <c r="AW55" s="31">
        <f t="shared" si="3"/>
        <v>457</v>
      </c>
      <c r="AX55" s="31">
        <f t="shared" si="4"/>
        <v>858</v>
      </c>
      <c r="AY55" s="31">
        <f t="shared" si="5"/>
        <v>635</v>
      </c>
      <c r="AZ55" s="31">
        <f t="shared" si="6"/>
        <v>0.23626600578273438</v>
      </c>
      <c r="BA55" s="31">
        <f t="shared" si="7"/>
        <v>0.16935483870967749</v>
      </c>
      <c r="BB55" s="31">
        <f t="shared" si="8"/>
        <v>3.5543403964456655E-2</v>
      </c>
      <c r="BC55" s="31">
        <f t="shared" si="9"/>
        <v>2.2235576923076872E-2</v>
      </c>
      <c r="BD55" s="31">
        <f t="shared" si="10"/>
        <v>-5.1294738578261612E-2</v>
      </c>
      <c r="BE55" s="31">
        <f t="shared" si="11"/>
        <v>-7.8504139309163556E-2</v>
      </c>
      <c r="BF55" s="31">
        <f t="shared" si="12"/>
        <v>0</v>
      </c>
      <c r="BG55" s="31">
        <f t="shared" si="13"/>
        <v>0</v>
      </c>
      <c r="BH55" s="31">
        <f t="shared" si="14"/>
        <v>0</v>
      </c>
    </row>
    <row r="56" spans="1:60" ht="152.25" customHeight="1" x14ac:dyDescent="0.2">
      <c r="A56" s="78" t="s">
        <v>317</v>
      </c>
      <c r="B56" s="407"/>
      <c r="C56" s="124" t="s">
        <v>502</v>
      </c>
      <c r="D56" s="125"/>
      <c r="E56" s="20" t="s">
        <v>562</v>
      </c>
      <c r="F56" s="21" t="s">
        <v>594</v>
      </c>
      <c r="G56" s="37" t="s">
        <v>595</v>
      </c>
      <c r="H56" s="80" t="s">
        <v>596</v>
      </c>
      <c r="I56" s="128" t="s">
        <v>62</v>
      </c>
      <c r="J56" s="128" t="s">
        <v>597</v>
      </c>
      <c r="K56" s="128" t="s">
        <v>598</v>
      </c>
      <c r="L56" s="137" t="s">
        <v>583</v>
      </c>
      <c r="M56" s="21" t="s">
        <v>51</v>
      </c>
      <c r="N56" s="21" t="s">
        <v>51</v>
      </c>
      <c r="O56" s="21">
        <v>7</v>
      </c>
      <c r="P56" s="80" t="s">
        <v>599</v>
      </c>
      <c r="Q56" s="21">
        <v>16</v>
      </c>
      <c r="R56" s="80" t="s">
        <v>599</v>
      </c>
      <c r="S56" s="21">
        <v>4</v>
      </c>
      <c r="T56" s="80" t="s">
        <v>599</v>
      </c>
      <c r="U56" s="130">
        <f>14/14*100%</f>
        <v>1</v>
      </c>
      <c r="V56" s="80" t="s">
        <v>599</v>
      </c>
      <c r="W56" s="130">
        <f>20/20*100%</f>
        <v>1</v>
      </c>
      <c r="X56" s="80" t="s">
        <v>599</v>
      </c>
      <c r="Y56" s="130">
        <f>15/15*100%</f>
        <v>1</v>
      </c>
      <c r="Z56" s="80" t="s">
        <v>599</v>
      </c>
      <c r="AA56" s="130">
        <f>6/6*100%</f>
        <v>1</v>
      </c>
      <c r="AB56" s="80" t="s">
        <v>599</v>
      </c>
      <c r="AC56" s="130">
        <f>23/23*100%</f>
        <v>1</v>
      </c>
      <c r="AD56" s="80" t="s">
        <v>599</v>
      </c>
      <c r="AE56" s="131">
        <f>12/12*100%</f>
        <v>1</v>
      </c>
      <c r="AF56" s="80" t="s">
        <v>599</v>
      </c>
      <c r="AG56" s="115"/>
      <c r="AH56" s="313"/>
      <c r="AI56" s="115"/>
      <c r="AJ56" s="313"/>
      <c r="AK56" s="115"/>
      <c r="AL56" s="313"/>
      <c r="AM56" s="21" t="s">
        <v>600</v>
      </c>
      <c r="AN56" s="136">
        <v>1</v>
      </c>
      <c r="AO56" s="270"/>
      <c r="AP56" s="255"/>
      <c r="AQ56" s="252"/>
      <c r="AR56" s="253" t="s">
        <v>1353</v>
      </c>
      <c r="AS56" s="340" t="str">
        <f t="shared" si="17"/>
        <v>ACCIÓN CORRECTIVA</v>
      </c>
      <c r="AT56" s="30">
        <f t="shared" si="2"/>
        <v>3.6666666666666665</v>
      </c>
      <c r="AU56" s="30">
        <f t="shared" si="1"/>
        <v>3.25</v>
      </c>
      <c r="AV56" s="1"/>
      <c r="AW56" s="31">
        <f t="shared" si="3"/>
        <v>7</v>
      </c>
      <c r="AX56" s="31">
        <f t="shared" si="4"/>
        <v>16</v>
      </c>
      <c r="AY56" s="31">
        <f t="shared" si="5"/>
        <v>4</v>
      </c>
      <c r="AZ56" s="31">
        <f t="shared" si="6"/>
        <v>1</v>
      </c>
      <c r="BA56" s="31">
        <f t="shared" si="7"/>
        <v>1</v>
      </c>
      <c r="BB56" s="31">
        <f t="shared" si="8"/>
        <v>1</v>
      </c>
      <c r="BC56" s="31">
        <f t="shared" si="9"/>
        <v>1</v>
      </c>
      <c r="BD56" s="31">
        <f t="shared" si="10"/>
        <v>1</v>
      </c>
      <c r="BE56" s="31">
        <f t="shared" si="11"/>
        <v>1</v>
      </c>
      <c r="BF56" s="31">
        <f t="shared" si="12"/>
        <v>0</v>
      </c>
      <c r="BG56" s="31">
        <f t="shared" si="13"/>
        <v>0</v>
      </c>
      <c r="BH56" s="31">
        <f t="shared" si="14"/>
        <v>0</v>
      </c>
    </row>
    <row r="57" spans="1:60" ht="202.5" customHeight="1" x14ac:dyDescent="0.2">
      <c r="A57" s="78" t="s">
        <v>317</v>
      </c>
      <c r="B57" s="65" t="s">
        <v>601</v>
      </c>
      <c r="C57" s="55" t="s">
        <v>602</v>
      </c>
      <c r="D57" s="67" t="s">
        <v>603</v>
      </c>
      <c r="E57" s="20" t="s">
        <v>604</v>
      </c>
      <c r="F57" s="73" t="s">
        <v>605</v>
      </c>
      <c r="G57" s="42" t="s">
        <v>606</v>
      </c>
      <c r="H57" s="42" t="s">
        <v>607</v>
      </c>
      <c r="I57" s="23" t="s">
        <v>47</v>
      </c>
      <c r="J57" s="23" t="s">
        <v>608</v>
      </c>
      <c r="K57" s="23" t="s">
        <v>509</v>
      </c>
      <c r="L57" s="23" t="s">
        <v>609</v>
      </c>
      <c r="M57" s="24" t="s">
        <v>410</v>
      </c>
      <c r="N57" s="24" t="s">
        <v>410</v>
      </c>
      <c r="O57" s="140">
        <f>+'[2]INDICADORES CECO'!$E$20</f>
        <v>9.0111444974363422E-2</v>
      </c>
      <c r="P57" s="37" t="s">
        <v>610</v>
      </c>
      <c r="Q57" s="140">
        <f>+'[2]INDICADORES CECO'!$G$20</f>
        <v>0.11817531616182869</v>
      </c>
      <c r="R57" s="42" t="s">
        <v>611</v>
      </c>
      <c r="S57" s="140">
        <f>+'[2]INDICADORES CECO'!$I$20</f>
        <v>7.5181839106778114E-2</v>
      </c>
      <c r="T57" s="42" t="s">
        <v>612</v>
      </c>
      <c r="U57" s="140">
        <v>0.12</v>
      </c>
      <c r="V57" s="42" t="s">
        <v>613</v>
      </c>
      <c r="W57" s="140">
        <v>0.12</v>
      </c>
      <c r="X57" s="42" t="s">
        <v>614</v>
      </c>
      <c r="Y57" s="140">
        <v>0.02</v>
      </c>
      <c r="Z57" s="42" t="s">
        <v>615</v>
      </c>
      <c r="AA57" s="141" t="s">
        <v>616</v>
      </c>
      <c r="AB57" s="37" t="s">
        <v>617</v>
      </c>
      <c r="AC57" s="141" t="s">
        <v>616</v>
      </c>
      <c r="AD57" s="37" t="s">
        <v>617</v>
      </c>
      <c r="AE57" s="141" t="s">
        <v>616</v>
      </c>
      <c r="AF57" s="37" t="s">
        <v>617</v>
      </c>
      <c r="AG57" s="115"/>
      <c r="AH57" s="289" t="s">
        <v>1231</v>
      </c>
      <c r="AI57" s="115"/>
      <c r="AJ57" s="289" t="s">
        <v>1231</v>
      </c>
      <c r="AK57" s="115"/>
      <c r="AL57" s="289" t="s">
        <v>1231</v>
      </c>
      <c r="AM57" s="24" t="s">
        <v>576</v>
      </c>
      <c r="AN57" s="24" t="s">
        <v>577</v>
      </c>
      <c r="AO57" s="270"/>
      <c r="AP57" s="255"/>
      <c r="AQ57" s="255"/>
      <c r="AR57" s="253" t="s">
        <v>1353</v>
      </c>
      <c r="AS57" s="340" t="str">
        <f t="shared" si="17"/>
        <v>ACCIÓN CORRECTIVA</v>
      </c>
      <c r="AT57" s="30">
        <f t="shared" si="2"/>
        <v>9.0578100040495046E-2</v>
      </c>
      <c r="AU57" s="30">
        <f t="shared" si="1"/>
        <v>9.0671431053721357E-2</v>
      </c>
      <c r="AV57" s="1"/>
      <c r="AW57" s="31">
        <f t="shared" si="3"/>
        <v>9.0111444974363422E-2</v>
      </c>
      <c r="AX57" s="31">
        <f t="shared" si="4"/>
        <v>0.11817531616182869</v>
      </c>
      <c r="AY57" s="31">
        <f t="shared" si="5"/>
        <v>7.5181839106778114E-2</v>
      </c>
      <c r="AZ57" s="31">
        <f t="shared" si="6"/>
        <v>0.12</v>
      </c>
      <c r="BA57" s="31">
        <f t="shared" si="7"/>
        <v>0.12</v>
      </c>
      <c r="BB57" s="31">
        <f t="shared" si="8"/>
        <v>0.02</v>
      </c>
      <c r="BC57" s="31" t="str">
        <f t="shared" si="9"/>
        <v>N.A.</v>
      </c>
      <c r="BD57" s="31" t="str">
        <f t="shared" si="10"/>
        <v>N.A.</v>
      </c>
      <c r="BE57" s="31" t="str">
        <f t="shared" si="11"/>
        <v>N.A.</v>
      </c>
      <c r="BF57" s="31">
        <f t="shared" si="12"/>
        <v>0</v>
      </c>
      <c r="BG57" s="31">
        <f t="shared" si="13"/>
        <v>0</v>
      </c>
      <c r="BH57" s="31">
        <f t="shared" si="14"/>
        <v>0</v>
      </c>
    </row>
    <row r="58" spans="1:60" ht="107.25" customHeight="1" x14ac:dyDescent="0.2">
      <c r="A58" s="78" t="s">
        <v>317</v>
      </c>
      <c r="B58" s="276"/>
      <c r="C58" s="55" t="s">
        <v>602</v>
      </c>
      <c r="D58" s="142"/>
      <c r="E58" s="20" t="s">
        <v>604</v>
      </c>
      <c r="F58" s="73" t="s">
        <v>618</v>
      </c>
      <c r="G58" s="37" t="s">
        <v>619</v>
      </c>
      <c r="H58" s="37" t="s">
        <v>620</v>
      </c>
      <c r="I58" s="29" t="s">
        <v>62</v>
      </c>
      <c r="J58" s="29" t="s">
        <v>621</v>
      </c>
      <c r="K58" s="143" t="s">
        <v>622</v>
      </c>
      <c r="L58" s="29" t="s">
        <v>609</v>
      </c>
      <c r="M58" s="24" t="s">
        <v>533</v>
      </c>
      <c r="N58" s="24" t="s">
        <v>533</v>
      </c>
      <c r="O58" s="142" t="s">
        <v>279</v>
      </c>
      <c r="P58" s="37" t="s">
        <v>623</v>
      </c>
      <c r="Q58" s="142" t="s">
        <v>279</v>
      </c>
      <c r="R58" s="37" t="s">
        <v>624</v>
      </c>
      <c r="S58" s="144">
        <v>0.13</v>
      </c>
      <c r="T58" s="37" t="s">
        <v>625</v>
      </c>
      <c r="U58" s="142" t="s">
        <v>279</v>
      </c>
      <c r="V58" s="307" t="s">
        <v>279</v>
      </c>
      <c r="W58" s="142" t="s">
        <v>279</v>
      </c>
      <c r="X58" s="307" t="s">
        <v>279</v>
      </c>
      <c r="Y58" s="144">
        <v>0.15</v>
      </c>
      <c r="Z58" s="20" t="s">
        <v>626</v>
      </c>
      <c r="AA58" s="140" t="s">
        <v>616</v>
      </c>
      <c r="AB58" s="20" t="s">
        <v>627</v>
      </c>
      <c r="AC58" s="140" t="s">
        <v>616</v>
      </c>
      <c r="AD58" s="152" t="s">
        <v>628</v>
      </c>
      <c r="AE58" s="140">
        <v>0.5</v>
      </c>
      <c r="AF58" s="152" t="s">
        <v>629</v>
      </c>
      <c r="AG58" s="140" t="s">
        <v>616</v>
      </c>
      <c r="AH58" s="37" t="s">
        <v>1236</v>
      </c>
      <c r="AI58" s="140" t="s">
        <v>616</v>
      </c>
      <c r="AJ58" s="37" t="s">
        <v>1237</v>
      </c>
      <c r="AK58" s="140">
        <v>0.8</v>
      </c>
      <c r="AL58" s="37" t="s">
        <v>1238</v>
      </c>
      <c r="AM58" s="38">
        <v>0</v>
      </c>
      <c r="AN58" s="38">
        <v>1</v>
      </c>
      <c r="AO58" s="255"/>
      <c r="AP58" s="255"/>
      <c r="AQ58" s="265"/>
      <c r="AR58" s="267" t="s">
        <v>1170</v>
      </c>
      <c r="AS58" s="340" t="str">
        <f t="shared" si="17"/>
        <v>RESULTADOS FAVORABLES</v>
      </c>
      <c r="AT58" s="30">
        <f t="shared" si="2"/>
        <v>0.39500000000000002</v>
      </c>
      <c r="AU58" s="30">
        <f t="shared" si="1"/>
        <v>0.39500000000000002</v>
      </c>
      <c r="AV58" s="1"/>
      <c r="AW58" s="31" t="str">
        <f t="shared" si="3"/>
        <v>n/a</v>
      </c>
      <c r="AX58" s="31" t="str">
        <f t="shared" si="4"/>
        <v>n/a</v>
      </c>
      <c r="AY58" s="31">
        <f t="shared" si="5"/>
        <v>0.13</v>
      </c>
      <c r="AZ58" s="31" t="str">
        <f t="shared" si="6"/>
        <v>n/a</v>
      </c>
      <c r="BA58" s="31" t="str">
        <f t="shared" si="7"/>
        <v>n/a</v>
      </c>
      <c r="BB58" s="31">
        <f t="shared" si="8"/>
        <v>0.15</v>
      </c>
      <c r="BC58" s="31" t="str">
        <f t="shared" si="9"/>
        <v>N.A.</v>
      </c>
      <c r="BD58" s="31" t="str">
        <f t="shared" si="10"/>
        <v>N.A.</v>
      </c>
      <c r="BE58" s="31">
        <f t="shared" si="11"/>
        <v>0.5</v>
      </c>
      <c r="BF58" s="31" t="str">
        <f t="shared" si="12"/>
        <v>N.A.</v>
      </c>
      <c r="BG58" s="31" t="str">
        <f t="shared" si="13"/>
        <v>N.A.</v>
      </c>
      <c r="BH58" s="31">
        <f t="shared" si="14"/>
        <v>0.8</v>
      </c>
    </row>
    <row r="59" spans="1:60" ht="246.75" customHeight="1" x14ac:dyDescent="0.2">
      <c r="A59" s="78" t="s">
        <v>317</v>
      </c>
      <c r="B59" s="276"/>
      <c r="C59" s="55" t="s">
        <v>602</v>
      </c>
      <c r="D59" s="142"/>
      <c r="E59" s="20" t="s">
        <v>604</v>
      </c>
      <c r="F59" s="73" t="s">
        <v>630</v>
      </c>
      <c r="G59" s="20" t="s">
        <v>631</v>
      </c>
      <c r="H59" s="146" t="s">
        <v>632</v>
      </c>
      <c r="I59" s="147" t="s">
        <v>62</v>
      </c>
      <c r="J59" s="143" t="s">
        <v>633</v>
      </c>
      <c r="K59" s="143" t="s">
        <v>622</v>
      </c>
      <c r="L59" s="143" t="s">
        <v>609</v>
      </c>
      <c r="M59" s="24" t="s">
        <v>533</v>
      </c>
      <c r="N59" s="24" t="s">
        <v>533</v>
      </c>
      <c r="O59" s="142" t="s">
        <v>279</v>
      </c>
      <c r="P59" s="37" t="s">
        <v>634</v>
      </c>
      <c r="Q59" s="142" t="s">
        <v>279</v>
      </c>
      <c r="R59" s="37" t="s">
        <v>635</v>
      </c>
      <c r="S59" s="144">
        <v>0.35</v>
      </c>
      <c r="T59" s="146" t="s">
        <v>636</v>
      </c>
      <c r="U59" s="142" t="s">
        <v>279</v>
      </c>
      <c r="V59" s="307" t="s">
        <v>279</v>
      </c>
      <c r="W59" s="142" t="s">
        <v>279</v>
      </c>
      <c r="X59" s="307" t="s">
        <v>279</v>
      </c>
      <c r="Y59" s="144">
        <v>0.5</v>
      </c>
      <c r="Z59" s="152" t="s">
        <v>637</v>
      </c>
      <c r="AA59" s="140" t="s">
        <v>616</v>
      </c>
      <c r="AB59" s="20" t="s">
        <v>638</v>
      </c>
      <c r="AC59" s="140" t="s">
        <v>616</v>
      </c>
      <c r="AD59" s="20" t="s">
        <v>639</v>
      </c>
      <c r="AE59" s="140">
        <v>0.75</v>
      </c>
      <c r="AF59" s="20" t="s">
        <v>640</v>
      </c>
      <c r="AG59" s="140" t="s">
        <v>616</v>
      </c>
      <c r="AH59" s="37" t="s">
        <v>1239</v>
      </c>
      <c r="AI59" s="140" t="s">
        <v>616</v>
      </c>
      <c r="AJ59" s="100" t="s">
        <v>1240</v>
      </c>
      <c r="AK59" s="140">
        <v>1</v>
      </c>
      <c r="AL59" s="37" t="s">
        <v>1241</v>
      </c>
      <c r="AM59" s="38">
        <v>0.9</v>
      </c>
      <c r="AN59" s="24" t="s">
        <v>641</v>
      </c>
      <c r="AO59" s="255"/>
      <c r="AP59" s="255"/>
      <c r="AQ59" s="265"/>
      <c r="AR59" s="267" t="s">
        <v>1170</v>
      </c>
      <c r="AS59" s="340" t="str">
        <f t="shared" si="17"/>
        <v>RESULTADOS FAVORABLES</v>
      </c>
      <c r="AT59" s="30">
        <f t="shared" si="2"/>
        <v>0.65</v>
      </c>
      <c r="AU59" s="30">
        <f t="shared" si="1"/>
        <v>0.65</v>
      </c>
      <c r="AV59" s="1"/>
      <c r="AW59" s="31" t="str">
        <f t="shared" si="3"/>
        <v>n/a</v>
      </c>
      <c r="AX59" s="31" t="str">
        <f t="shared" si="4"/>
        <v>n/a</v>
      </c>
      <c r="AY59" s="31">
        <f t="shared" si="5"/>
        <v>0.35</v>
      </c>
      <c r="AZ59" s="31" t="str">
        <f t="shared" si="6"/>
        <v>n/a</v>
      </c>
      <c r="BA59" s="31" t="str">
        <f t="shared" si="7"/>
        <v>n/a</v>
      </c>
      <c r="BB59" s="31">
        <f t="shared" si="8"/>
        <v>0.5</v>
      </c>
      <c r="BC59" s="31" t="str">
        <f t="shared" si="9"/>
        <v>N.A.</v>
      </c>
      <c r="BD59" s="31" t="str">
        <f t="shared" si="10"/>
        <v>N.A.</v>
      </c>
      <c r="BE59" s="31">
        <f t="shared" si="11"/>
        <v>0.75</v>
      </c>
      <c r="BF59" s="31" t="str">
        <f t="shared" si="12"/>
        <v>N.A.</v>
      </c>
      <c r="BG59" s="31" t="str">
        <f t="shared" si="13"/>
        <v>N.A.</v>
      </c>
      <c r="BH59" s="31">
        <f t="shared" si="14"/>
        <v>1</v>
      </c>
    </row>
    <row r="60" spans="1:60" ht="86.25" customHeight="1" x14ac:dyDescent="0.2">
      <c r="A60" s="78" t="s">
        <v>317</v>
      </c>
      <c r="B60" s="276"/>
      <c r="C60" s="55" t="s">
        <v>602</v>
      </c>
      <c r="D60" s="148"/>
      <c r="E60" s="20" t="s">
        <v>604</v>
      </c>
      <c r="F60" s="73" t="s">
        <v>642</v>
      </c>
      <c r="G60" s="20" t="s">
        <v>643</v>
      </c>
      <c r="H60" s="146" t="s">
        <v>644</v>
      </c>
      <c r="I60" s="143" t="s">
        <v>62</v>
      </c>
      <c r="J60" s="149" t="s">
        <v>645</v>
      </c>
      <c r="K60" s="143" t="s">
        <v>646</v>
      </c>
      <c r="L60" s="143" t="s">
        <v>609</v>
      </c>
      <c r="M60" s="24" t="s">
        <v>51</v>
      </c>
      <c r="N60" s="24" t="s">
        <v>51</v>
      </c>
      <c r="O60" s="142">
        <v>0</v>
      </c>
      <c r="P60" s="20" t="s">
        <v>647</v>
      </c>
      <c r="Q60" s="142">
        <v>0</v>
      </c>
      <c r="R60" s="20" t="s">
        <v>648</v>
      </c>
      <c r="S60" s="142">
        <v>0</v>
      </c>
      <c r="T60" s="20" t="s">
        <v>649</v>
      </c>
      <c r="U60" s="150">
        <v>1.6E-2</v>
      </c>
      <c r="V60" s="20" t="s">
        <v>650</v>
      </c>
      <c r="W60" s="142">
        <v>0</v>
      </c>
      <c r="X60" s="20" t="s">
        <v>651</v>
      </c>
      <c r="Y60" s="150">
        <v>6.1000000000000004E-3</v>
      </c>
      <c r="Z60" s="20" t="s">
        <v>652</v>
      </c>
      <c r="AA60" s="150">
        <f>2*100%/407</f>
        <v>4.9140049140049139E-3</v>
      </c>
      <c r="AB60" s="20" t="s">
        <v>653</v>
      </c>
      <c r="AC60" s="150">
        <f>2*100%/447</f>
        <v>4.4742729306487695E-3</v>
      </c>
      <c r="AD60" s="20" t="s">
        <v>654</v>
      </c>
      <c r="AE60" s="150">
        <f>7*100%/512</f>
        <v>1.3671875E-2</v>
      </c>
      <c r="AF60" s="20" t="s">
        <v>655</v>
      </c>
      <c r="AG60" s="150">
        <v>0</v>
      </c>
      <c r="AH60" s="100" t="s">
        <v>1242</v>
      </c>
      <c r="AI60" s="150">
        <v>0</v>
      </c>
      <c r="AJ60" s="100" t="s">
        <v>1243</v>
      </c>
      <c r="AK60" s="150">
        <v>0</v>
      </c>
      <c r="AL60" s="100" t="s">
        <v>1244</v>
      </c>
      <c r="AM60" s="24" t="s">
        <v>616</v>
      </c>
      <c r="AN60" s="24" t="s">
        <v>656</v>
      </c>
      <c r="AO60" s="255"/>
      <c r="AP60" s="255"/>
      <c r="AQ60" s="265"/>
      <c r="AR60" s="267" t="s">
        <v>1170</v>
      </c>
      <c r="AS60" s="340" t="str">
        <f>IF($AK60&lt;=4.5%,"RESULTADOS FAVORABLES",IF($AK60&gt;=5%,"ACCIÓN CORRECTIVA",IF($AK60&gt;=4%,"OPORTUNIDAD DE MEJORA")))</f>
        <v>RESULTADOS FAVORABLES</v>
      </c>
      <c r="AT60" s="30">
        <f t="shared" si="2"/>
        <v>3.763346070387807E-3</v>
      </c>
      <c r="AU60" s="30">
        <f t="shared" si="1"/>
        <v>9.0320305689307358E-3</v>
      </c>
      <c r="AV60" s="1"/>
      <c r="AW60" s="31">
        <f t="shared" si="3"/>
        <v>0</v>
      </c>
      <c r="AX60" s="31">
        <f t="shared" si="4"/>
        <v>0</v>
      </c>
      <c r="AY60" s="31">
        <f t="shared" si="5"/>
        <v>0</v>
      </c>
      <c r="AZ60" s="31">
        <f t="shared" si="6"/>
        <v>1.6E-2</v>
      </c>
      <c r="BA60" s="31">
        <f t="shared" si="7"/>
        <v>0</v>
      </c>
      <c r="BB60" s="31">
        <f t="shared" si="8"/>
        <v>6.1000000000000004E-3</v>
      </c>
      <c r="BC60" s="31">
        <f t="shared" si="9"/>
        <v>4.9140049140049139E-3</v>
      </c>
      <c r="BD60" s="31">
        <f t="shared" si="10"/>
        <v>4.4742729306487695E-3</v>
      </c>
      <c r="BE60" s="31">
        <f t="shared" si="11"/>
        <v>1.3671875E-2</v>
      </c>
      <c r="BF60" s="31">
        <f t="shared" si="12"/>
        <v>0</v>
      </c>
      <c r="BG60" s="31">
        <f t="shared" si="13"/>
        <v>0</v>
      </c>
      <c r="BH60" s="31">
        <f t="shared" si="14"/>
        <v>0</v>
      </c>
    </row>
    <row r="61" spans="1:60" ht="136.5" customHeight="1" x14ac:dyDescent="0.2">
      <c r="A61" s="78" t="s">
        <v>317</v>
      </c>
      <c r="B61" s="276"/>
      <c r="C61" s="55" t="s">
        <v>602</v>
      </c>
      <c r="D61" s="148"/>
      <c r="E61" s="20" t="s">
        <v>604</v>
      </c>
      <c r="F61" s="73" t="s">
        <v>657</v>
      </c>
      <c r="G61" s="294" t="s">
        <v>658</v>
      </c>
      <c r="H61" s="146" t="s">
        <v>659</v>
      </c>
      <c r="I61" s="143" t="s">
        <v>62</v>
      </c>
      <c r="J61" s="143" t="s">
        <v>660</v>
      </c>
      <c r="K61" s="143" t="s">
        <v>646</v>
      </c>
      <c r="L61" s="143" t="s">
        <v>609</v>
      </c>
      <c r="M61" s="24" t="s">
        <v>51</v>
      </c>
      <c r="N61" s="24" t="s">
        <v>51</v>
      </c>
      <c r="O61" s="151">
        <v>0.12169117647058823</v>
      </c>
      <c r="P61" s="146" t="s">
        <v>661</v>
      </c>
      <c r="Q61" s="151">
        <v>0.14683219178082191</v>
      </c>
      <c r="R61" s="146" t="s">
        <v>662</v>
      </c>
      <c r="S61" s="151">
        <v>0.13794802867383513</v>
      </c>
      <c r="T61" s="146" t="s">
        <v>663</v>
      </c>
      <c r="U61" s="144">
        <v>0.23</v>
      </c>
      <c r="V61" s="152" t="s">
        <v>664</v>
      </c>
      <c r="W61" s="144">
        <v>0.14000000000000001</v>
      </c>
      <c r="X61" s="20" t="s">
        <v>665</v>
      </c>
      <c r="Y61" s="144">
        <v>0.31</v>
      </c>
      <c r="Z61" s="20" t="s">
        <v>666</v>
      </c>
      <c r="AA61" s="150">
        <v>0.1</v>
      </c>
      <c r="AB61" s="20" t="s">
        <v>667</v>
      </c>
      <c r="AC61" s="150">
        <v>0.09</v>
      </c>
      <c r="AD61" s="20" t="s">
        <v>667</v>
      </c>
      <c r="AE61" s="150">
        <v>7.0000000000000007E-2</v>
      </c>
      <c r="AF61" s="20" t="s">
        <v>667</v>
      </c>
      <c r="AG61" s="150">
        <v>0.2</v>
      </c>
      <c r="AH61" s="100" t="s">
        <v>1245</v>
      </c>
      <c r="AI61" s="150">
        <v>0.15</v>
      </c>
      <c r="AJ61" s="100" t="s">
        <v>1245</v>
      </c>
      <c r="AK61" s="150">
        <v>0.27</v>
      </c>
      <c r="AL61" s="100" t="s">
        <v>1245</v>
      </c>
      <c r="AM61" s="24" t="s">
        <v>616</v>
      </c>
      <c r="AN61" s="24" t="s">
        <v>668</v>
      </c>
      <c r="AO61" s="270"/>
      <c r="AP61" s="255"/>
      <c r="AQ61" s="252"/>
      <c r="AR61" s="264" t="s">
        <v>1355</v>
      </c>
      <c r="AS61" s="340" t="str">
        <f>IF($AK61&lt;=10%,"RESULTADOS FAVORABLES",IF($AK61&gt;10%,"ACCIÓN CORRECTIVA",IF($AK61&lt;=9%,"OPORTUNIDAD DE MEJORA")))</f>
        <v>ACCIÓN CORRECTIVA</v>
      </c>
      <c r="AT61" s="30">
        <f t="shared" si="2"/>
        <v>0.16387261641043713</v>
      </c>
      <c r="AU61" s="30">
        <f t="shared" si="1"/>
        <v>0.16770729276860519</v>
      </c>
      <c r="AV61" s="1"/>
      <c r="AW61" s="31">
        <f t="shared" si="3"/>
        <v>0.12169117647058823</v>
      </c>
      <c r="AX61" s="31">
        <f t="shared" si="4"/>
        <v>0.14683219178082191</v>
      </c>
      <c r="AY61" s="31">
        <f t="shared" si="5"/>
        <v>0.13794802867383513</v>
      </c>
      <c r="AZ61" s="31">
        <f t="shared" si="6"/>
        <v>0.23</v>
      </c>
      <c r="BA61" s="31">
        <f t="shared" si="7"/>
        <v>0.14000000000000001</v>
      </c>
      <c r="BB61" s="31">
        <f t="shared" si="8"/>
        <v>0.31</v>
      </c>
      <c r="BC61" s="31">
        <f t="shared" si="9"/>
        <v>0.1</v>
      </c>
      <c r="BD61" s="31">
        <f t="shared" si="10"/>
        <v>0.09</v>
      </c>
      <c r="BE61" s="31">
        <f t="shared" si="11"/>
        <v>7.0000000000000007E-2</v>
      </c>
      <c r="BF61" s="31">
        <f t="shared" si="12"/>
        <v>0.2</v>
      </c>
      <c r="BG61" s="31">
        <f t="shared" si="13"/>
        <v>0.15</v>
      </c>
      <c r="BH61" s="31">
        <f t="shared" si="14"/>
        <v>0.27</v>
      </c>
    </row>
    <row r="62" spans="1:60" ht="69" customHeight="1" x14ac:dyDescent="0.2">
      <c r="A62" s="78" t="s">
        <v>317</v>
      </c>
      <c r="B62" s="276"/>
      <c r="C62" s="55" t="s">
        <v>602</v>
      </c>
      <c r="D62" s="148"/>
      <c r="E62" s="20" t="s">
        <v>1359</v>
      </c>
      <c r="F62" s="73" t="s">
        <v>669</v>
      </c>
      <c r="G62" s="20" t="s">
        <v>670</v>
      </c>
      <c r="H62" s="146" t="s">
        <v>671</v>
      </c>
      <c r="I62" s="143" t="s">
        <v>62</v>
      </c>
      <c r="J62" s="143" t="s">
        <v>672</v>
      </c>
      <c r="K62" s="143" t="s">
        <v>673</v>
      </c>
      <c r="L62" s="143" t="s">
        <v>609</v>
      </c>
      <c r="M62" s="24" t="s">
        <v>51</v>
      </c>
      <c r="N62" s="24" t="s">
        <v>51</v>
      </c>
      <c r="O62" s="151">
        <v>0</v>
      </c>
      <c r="P62" s="146" t="s">
        <v>674</v>
      </c>
      <c r="Q62" s="151">
        <v>0</v>
      </c>
      <c r="R62" s="146" t="s">
        <v>674</v>
      </c>
      <c r="S62" s="151">
        <v>0</v>
      </c>
      <c r="T62" s="146" t="s">
        <v>674</v>
      </c>
      <c r="U62" s="345">
        <v>0.34399999999999997</v>
      </c>
      <c r="V62" s="20" t="s">
        <v>675</v>
      </c>
      <c r="W62" s="345">
        <v>0.10589999999999999</v>
      </c>
      <c r="X62" s="20" t="s">
        <v>676</v>
      </c>
      <c r="Y62" s="345">
        <v>0.10680000000000001</v>
      </c>
      <c r="Z62" s="20" t="s">
        <v>676</v>
      </c>
      <c r="AA62" s="345">
        <v>8.3299999999999999E-2</v>
      </c>
      <c r="AB62" s="20" t="s">
        <v>677</v>
      </c>
      <c r="AC62" s="345">
        <v>0.1678</v>
      </c>
      <c r="AD62" s="20" t="s">
        <v>678</v>
      </c>
      <c r="AE62" s="345">
        <v>0.16669999999999999</v>
      </c>
      <c r="AF62" s="20" t="s">
        <v>679</v>
      </c>
      <c r="AG62" s="344">
        <v>0.108</v>
      </c>
      <c r="AH62" s="100" t="s">
        <v>1246</v>
      </c>
      <c r="AI62" s="151">
        <v>0</v>
      </c>
      <c r="AJ62" s="146" t="s">
        <v>674</v>
      </c>
      <c r="AK62" s="151">
        <v>0</v>
      </c>
      <c r="AL62" s="146" t="s">
        <v>674</v>
      </c>
      <c r="AM62" s="38" t="s">
        <v>680</v>
      </c>
      <c r="AN62" s="38" t="s">
        <v>681</v>
      </c>
      <c r="AO62" s="255"/>
      <c r="AP62" s="255"/>
      <c r="AQ62" s="269"/>
      <c r="AR62" s="267" t="s">
        <v>1170</v>
      </c>
      <c r="AS62" s="340" t="str">
        <f>IF($AK62&lt;=7.86,"RESULTADOS FAVORABLES",IF($AK62&gt;7.86,"ACCIÓN CORRECTIVA",IF($AK62&gt;7,"OPORTUNIDAD DE MEJORA")))</f>
        <v>RESULTADOS FAVORABLES</v>
      </c>
      <c r="AT62" s="30">
        <f t="shared" si="2"/>
        <v>9.0208333333333335E-2</v>
      </c>
      <c r="AU62" s="30">
        <f t="shared" si="1"/>
        <v>0.15464285714285714</v>
      </c>
      <c r="AV62" s="1"/>
      <c r="AW62" s="31">
        <f t="shared" si="3"/>
        <v>0</v>
      </c>
      <c r="AX62" s="31">
        <f t="shared" si="4"/>
        <v>0</v>
      </c>
      <c r="AY62" s="31">
        <f t="shared" si="5"/>
        <v>0</v>
      </c>
      <c r="AZ62" s="31">
        <f t="shared" si="6"/>
        <v>0.34399999999999997</v>
      </c>
      <c r="BA62" s="31">
        <f t="shared" si="7"/>
        <v>0.10589999999999999</v>
      </c>
      <c r="BB62" s="31">
        <f t="shared" si="8"/>
        <v>0.10680000000000001</v>
      </c>
      <c r="BC62" s="31">
        <f t="shared" si="9"/>
        <v>8.3299999999999999E-2</v>
      </c>
      <c r="BD62" s="31">
        <f t="shared" si="10"/>
        <v>0.1678</v>
      </c>
      <c r="BE62" s="31">
        <f t="shared" si="11"/>
        <v>0.16669999999999999</v>
      </c>
      <c r="BF62" s="31">
        <f t="shared" si="12"/>
        <v>0.108</v>
      </c>
      <c r="BG62" s="31">
        <f t="shared" si="13"/>
        <v>0</v>
      </c>
      <c r="BH62" s="31">
        <f t="shared" si="14"/>
        <v>0</v>
      </c>
    </row>
    <row r="63" spans="1:60" ht="63.75" customHeight="1" x14ac:dyDescent="0.2">
      <c r="A63" s="78" t="s">
        <v>317</v>
      </c>
      <c r="B63" s="276"/>
      <c r="C63" s="55" t="s">
        <v>602</v>
      </c>
      <c r="D63" s="148"/>
      <c r="E63" s="20" t="s">
        <v>1359</v>
      </c>
      <c r="F63" s="73" t="s">
        <v>682</v>
      </c>
      <c r="G63" s="20" t="s">
        <v>683</v>
      </c>
      <c r="H63" s="146" t="s">
        <v>684</v>
      </c>
      <c r="I63" s="143" t="s">
        <v>62</v>
      </c>
      <c r="J63" s="143" t="s">
        <v>685</v>
      </c>
      <c r="K63" s="143" t="s">
        <v>622</v>
      </c>
      <c r="L63" s="143" t="s">
        <v>609</v>
      </c>
      <c r="M63" s="24" t="s">
        <v>533</v>
      </c>
      <c r="N63" s="24" t="s">
        <v>533</v>
      </c>
      <c r="O63" s="144">
        <v>0</v>
      </c>
      <c r="P63" s="146" t="s">
        <v>686</v>
      </c>
      <c r="Q63" s="144">
        <v>0</v>
      </c>
      <c r="R63" s="146" t="s">
        <v>686</v>
      </c>
      <c r="S63" s="144">
        <v>0.25</v>
      </c>
      <c r="T63" s="146" t="s">
        <v>686</v>
      </c>
      <c r="U63" s="144">
        <v>0</v>
      </c>
      <c r="V63" s="146" t="s">
        <v>686</v>
      </c>
      <c r="W63" s="144">
        <v>0</v>
      </c>
      <c r="X63" s="146" t="s">
        <v>686</v>
      </c>
      <c r="Y63" s="144">
        <v>0.5</v>
      </c>
      <c r="Z63" s="146" t="s">
        <v>686</v>
      </c>
      <c r="AA63" s="140" t="s">
        <v>616</v>
      </c>
      <c r="AB63" s="146" t="s">
        <v>686</v>
      </c>
      <c r="AC63" s="140" t="s">
        <v>616</v>
      </c>
      <c r="AD63" s="146" t="s">
        <v>687</v>
      </c>
      <c r="AE63" s="150">
        <v>0.75</v>
      </c>
      <c r="AF63" s="146" t="s">
        <v>688</v>
      </c>
      <c r="AG63" s="150" t="s">
        <v>616</v>
      </c>
      <c r="AH63" s="146" t="s">
        <v>1247</v>
      </c>
      <c r="AI63" s="150" t="s">
        <v>616</v>
      </c>
      <c r="AJ63" s="146" t="s">
        <v>1248</v>
      </c>
      <c r="AK63" s="150">
        <v>1</v>
      </c>
      <c r="AL63" s="146" t="s">
        <v>688</v>
      </c>
      <c r="AM63" s="38">
        <v>0.9</v>
      </c>
      <c r="AN63" s="24" t="s">
        <v>641</v>
      </c>
      <c r="AO63" s="255"/>
      <c r="AP63" s="255"/>
      <c r="AQ63" s="269"/>
      <c r="AR63" s="267" t="s">
        <v>1170</v>
      </c>
      <c r="AS63" s="340" t="str">
        <f>IF($AK63&gt;=25%,"RESULTADOS FAVORABLES",IF($AK63&lt;12.5%,"ACCIÓN CORRECTIVA",IF($AK63&lt;24%,"OPORTUNIDAD DE MEJORA")))</f>
        <v>RESULTADOS FAVORABLES</v>
      </c>
      <c r="AT63" s="30">
        <f t="shared" si="2"/>
        <v>0.3125</v>
      </c>
      <c r="AU63" s="30">
        <f t="shared" si="1"/>
        <v>0.625</v>
      </c>
      <c r="AV63" s="1"/>
      <c r="AW63" s="31">
        <f t="shared" si="3"/>
        <v>0</v>
      </c>
      <c r="AX63" s="31">
        <f t="shared" si="4"/>
        <v>0</v>
      </c>
      <c r="AY63" s="31">
        <f t="shared" si="5"/>
        <v>0.25</v>
      </c>
      <c r="AZ63" s="31">
        <f t="shared" si="6"/>
        <v>0</v>
      </c>
      <c r="BA63" s="31">
        <f t="shared" si="7"/>
        <v>0</v>
      </c>
      <c r="BB63" s="31">
        <f t="shared" si="8"/>
        <v>0.5</v>
      </c>
      <c r="BC63" s="31" t="str">
        <f t="shared" si="9"/>
        <v>N.A.</v>
      </c>
      <c r="BD63" s="31" t="str">
        <f t="shared" si="10"/>
        <v>N.A.</v>
      </c>
      <c r="BE63" s="31">
        <f t="shared" si="11"/>
        <v>0.75</v>
      </c>
      <c r="BF63" s="31" t="str">
        <f t="shared" si="12"/>
        <v>N.A.</v>
      </c>
      <c r="BG63" s="31" t="str">
        <f t="shared" si="13"/>
        <v>N.A.</v>
      </c>
      <c r="BH63" s="31">
        <f t="shared" si="14"/>
        <v>1</v>
      </c>
    </row>
    <row r="64" spans="1:60" ht="98.25" customHeight="1" x14ac:dyDescent="0.2">
      <c r="A64" s="78" t="s">
        <v>317</v>
      </c>
      <c r="B64" s="276"/>
      <c r="C64" s="55" t="s">
        <v>602</v>
      </c>
      <c r="D64" s="148"/>
      <c r="E64" s="20" t="s">
        <v>1359</v>
      </c>
      <c r="F64" s="73" t="s">
        <v>689</v>
      </c>
      <c r="G64" s="20" t="s">
        <v>690</v>
      </c>
      <c r="H64" s="20" t="s">
        <v>691</v>
      </c>
      <c r="I64" s="143" t="s">
        <v>62</v>
      </c>
      <c r="J64" s="143" t="s">
        <v>685</v>
      </c>
      <c r="K64" s="143" t="s">
        <v>509</v>
      </c>
      <c r="L64" s="143" t="s">
        <v>609</v>
      </c>
      <c r="M64" s="24" t="s">
        <v>265</v>
      </c>
      <c r="N64" s="24" t="s">
        <v>265</v>
      </c>
      <c r="O64" s="35">
        <v>0</v>
      </c>
      <c r="P64" s="37" t="s">
        <v>692</v>
      </c>
      <c r="Q64" s="35">
        <v>0</v>
      </c>
      <c r="R64" s="37" t="s">
        <v>693</v>
      </c>
      <c r="S64" s="35">
        <v>0</v>
      </c>
      <c r="T64" s="37" t="s">
        <v>694</v>
      </c>
      <c r="U64" s="35">
        <v>0</v>
      </c>
      <c r="V64" s="37" t="s">
        <v>694</v>
      </c>
      <c r="W64" s="35">
        <v>0</v>
      </c>
      <c r="X64" s="37" t="s">
        <v>694</v>
      </c>
      <c r="Y64" s="35">
        <v>0</v>
      </c>
      <c r="Z64" s="37" t="s">
        <v>694</v>
      </c>
      <c r="AA64" s="35">
        <v>0</v>
      </c>
      <c r="AB64" s="146" t="s">
        <v>695</v>
      </c>
      <c r="AC64" s="35">
        <v>0</v>
      </c>
      <c r="AD64" s="146" t="s">
        <v>695</v>
      </c>
      <c r="AE64" s="35">
        <v>0</v>
      </c>
      <c r="AF64" s="146" t="s">
        <v>695</v>
      </c>
      <c r="AG64" s="35">
        <v>0</v>
      </c>
      <c r="AH64" s="146" t="s">
        <v>695</v>
      </c>
      <c r="AI64" s="35">
        <v>0</v>
      </c>
      <c r="AJ64" s="146" t="s">
        <v>695</v>
      </c>
      <c r="AK64" s="35">
        <v>0</v>
      </c>
      <c r="AL64" s="146" t="s">
        <v>695</v>
      </c>
      <c r="AM64" s="24" t="s">
        <v>616</v>
      </c>
      <c r="AN64" s="24" t="s">
        <v>641</v>
      </c>
      <c r="AO64" s="270"/>
      <c r="AP64" s="255"/>
      <c r="AQ64" s="255"/>
      <c r="AR64" s="264" t="s">
        <v>1354</v>
      </c>
      <c r="AS64" s="340" t="str">
        <f>IF($AK64&gt;=25%,"RESULTADOS FAVORABLES",IF($AK64&lt;12.5%,"ACCIÓN CORRECTIVA",IF($AK64&lt;24%,"OPORTUNIDAD DE MEJORA")))</f>
        <v>ACCIÓN CORRECTIVA</v>
      </c>
      <c r="AT64" s="30">
        <f t="shared" si="2"/>
        <v>0</v>
      </c>
      <c r="AU64" s="30">
        <f t="shared" si="1"/>
        <v>0</v>
      </c>
      <c r="AV64" s="1"/>
      <c r="AW64" s="31">
        <f t="shared" si="3"/>
        <v>0</v>
      </c>
      <c r="AX64" s="31">
        <f t="shared" si="4"/>
        <v>0</v>
      </c>
      <c r="AY64" s="31">
        <f t="shared" si="5"/>
        <v>0</v>
      </c>
      <c r="AZ64" s="31">
        <f t="shared" si="6"/>
        <v>0</v>
      </c>
      <c r="BA64" s="31">
        <f t="shared" si="7"/>
        <v>0</v>
      </c>
      <c r="BB64" s="31">
        <f t="shared" si="8"/>
        <v>0</v>
      </c>
      <c r="BC64" s="31">
        <f t="shared" si="9"/>
        <v>0</v>
      </c>
      <c r="BD64" s="31">
        <f t="shared" si="10"/>
        <v>0</v>
      </c>
      <c r="BE64" s="31">
        <f t="shared" si="11"/>
        <v>0</v>
      </c>
      <c r="BF64" s="31">
        <f t="shared" si="12"/>
        <v>0</v>
      </c>
      <c r="BG64" s="31">
        <f t="shared" si="13"/>
        <v>0</v>
      </c>
      <c r="BH64" s="31">
        <f t="shared" si="14"/>
        <v>0</v>
      </c>
    </row>
    <row r="65" spans="1:60" ht="285" x14ac:dyDescent="0.2">
      <c r="A65" s="155" t="s">
        <v>317</v>
      </c>
      <c r="B65" s="18"/>
      <c r="C65" s="154" t="s">
        <v>700</v>
      </c>
      <c r="D65" s="20"/>
      <c r="E65" s="86" t="s">
        <v>698</v>
      </c>
      <c r="F65" s="73" t="s">
        <v>701</v>
      </c>
      <c r="G65" s="37" t="s">
        <v>702</v>
      </c>
      <c r="H65" s="156" t="s">
        <v>703</v>
      </c>
      <c r="I65" s="157" t="s">
        <v>62</v>
      </c>
      <c r="J65" s="158" t="s">
        <v>704</v>
      </c>
      <c r="K65" s="23" t="s">
        <v>49</v>
      </c>
      <c r="L65" s="157" t="s">
        <v>699</v>
      </c>
      <c r="M65" s="24" t="s">
        <v>705</v>
      </c>
      <c r="N65" s="24" t="s">
        <v>705</v>
      </c>
      <c r="O65" s="159">
        <v>1</v>
      </c>
      <c r="P65" s="160" t="s">
        <v>706</v>
      </c>
      <c r="Q65" s="159">
        <v>1</v>
      </c>
      <c r="R65" s="160" t="s">
        <v>707</v>
      </c>
      <c r="S65" s="159">
        <v>1</v>
      </c>
      <c r="T65" s="160" t="s">
        <v>708</v>
      </c>
      <c r="U65" s="159">
        <v>1</v>
      </c>
      <c r="V65" s="160" t="s">
        <v>709</v>
      </c>
      <c r="W65" s="159">
        <v>1</v>
      </c>
      <c r="X65" s="160" t="s">
        <v>710</v>
      </c>
      <c r="Y65" s="159">
        <v>1</v>
      </c>
      <c r="Z65" s="160" t="s">
        <v>711</v>
      </c>
      <c r="AA65" s="159">
        <v>1</v>
      </c>
      <c r="AB65" s="160" t="s">
        <v>712</v>
      </c>
      <c r="AC65" s="161">
        <v>1</v>
      </c>
      <c r="AD65" s="160" t="s">
        <v>713</v>
      </c>
      <c r="AE65" s="161">
        <v>1</v>
      </c>
      <c r="AF65" s="160" t="s">
        <v>714</v>
      </c>
      <c r="AG65" s="161">
        <v>1</v>
      </c>
      <c r="AH65" s="316" t="s">
        <v>1185</v>
      </c>
      <c r="AI65" s="159">
        <v>1</v>
      </c>
      <c r="AJ65" s="316" t="s">
        <v>1186</v>
      </c>
      <c r="AK65" s="159">
        <v>1</v>
      </c>
      <c r="AL65" s="316" t="s">
        <v>1187</v>
      </c>
      <c r="AM65" s="144">
        <v>0</v>
      </c>
      <c r="AN65" s="144">
        <v>1</v>
      </c>
      <c r="AO65" s="255"/>
      <c r="AP65" s="255"/>
      <c r="AQ65" s="269"/>
      <c r="AR65" s="267" t="s">
        <v>1170</v>
      </c>
      <c r="AS65" s="340" t="str">
        <f>IF($AK65&gt;=25%,"RESULTADOS FAVORABLES",IF($AK65&lt;12.5%,"ACCIÓN CORRECTIVA",IF($AK65&lt;24%,"OPORTUNIDAD DE MEJORA")))</f>
        <v>RESULTADOS FAVORABLES</v>
      </c>
      <c r="AT65" s="30">
        <f t="shared" si="2"/>
        <v>1</v>
      </c>
      <c r="AU65" s="30">
        <f t="shared" si="1"/>
        <v>1</v>
      </c>
      <c r="AV65" s="1"/>
      <c r="AW65" s="31">
        <f t="shared" si="3"/>
        <v>1</v>
      </c>
      <c r="AX65" s="31">
        <f t="shared" si="4"/>
        <v>1</v>
      </c>
      <c r="AY65" s="31">
        <f t="shared" si="5"/>
        <v>1</v>
      </c>
      <c r="AZ65" s="31">
        <f t="shared" si="6"/>
        <v>1</v>
      </c>
      <c r="BA65" s="31">
        <f t="shared" si="7"/>
        <v>1</v>
      </c>
      <c r="BB65" s="31">
        <f t="shared" si="8"/>
        <v>1</v>
      </c>
      <c r="BC65" s="31">
        <f t="shared" si="9"/>
        <v>1</v>
      </c>
      <c r="BD65" s="31">
        <f t="shared" si="10"/>
        <v>1</v>
      </c>
      <c r="BE65" s="31">
        <f t="shared" si="11"/>
        <v>1</v>
      </c>
      <c r="BF65" s="31">
        <f t="shared" si="12"/>
        <v>1</v>
      </c>
      <c r="BG65" s="31">
        <f t="shared" si="13"/>
        <v>1</v>
      </c>
      <c r="BH65" s="31">
        <f t="shared" si="14"/>
        <v>1</v>
      </c>
    </row>
    <row r="66" spans="1:60" ht="315" x14ac:dyDescent="0.2">
      <c r="A66" s="155" t="s">
        <v>317</v>
      </c>
      <c r="B66" s="18"/>
      <c r="C66" s="154" t="s">
        <v>700</v>
      </c>
      <c r="D66" s="20" t="s">
        <v>715</v>
      </c>
      <c r="E66" s="86" t="s">
        <v>716</v>
      </c>
      <c r="F66" s="73" t="s">
        <v>717</v>
      </c>
      <c r="G66" s="37" t="s">
        <v>718</v>
      </c>
      <c r="H66" s="156" t="s">
        <v>719</v>
      </c>
      <c r="I66" s="157" t="s">
        <v>62</v>
      </c>
      <c r="J66" s="157" t="s">
        <v>1200</v>
      </c>
      <c r="K66" s="23" t="s">
        <v>49</v>
      </c>
      <c r="L66" s="157" t="s">
        <v>699</v>
      </c>
      <c r="M66" s="24" t="s">
        <v>533</v>
      </c>
      <c r="N66" s="24" t="s">
        <v>533</v>
      </c>
      <c r="O66" s="163">
        <v>0.35639999999999999</v>
      </c>
      <c r="P66" s="164" t="s">
        <v>720</v>
      </c>
      <c r="Q66" s="163">
        <v>0.35639999999999999</v>
      </c>
      <c r="R66" s="160" t="s">
        <v>721</v>
      </c>
      <c r="S66" s="163">
        <v>0.35639999999999999</v>
      </c>
      <c r="T66" s="164" t="s">
        <v>722</v>
      </c>
      <c r="U66" s="163">
        <v>0.39360000000000001</v>
      </c>
      <c r="V66" s="164" t="s">
        <v>723</v>
      </c>
      <c r="W66" s="163">
        <v>0.39360000000000001</v>
      </c>
      <c r="X66" s="164" t="s">
        <v>724</v>
      </c>
      <c r="Y66" s="163">
        <v>0.39360000000000001</v>
      </c>
      <c r="Z66" s="164" t="s">
        <v>725</v>
      </c>
      <c r="AA66" s="162"/>
      <c r="AB66" s="164" t="s">
        <v>726</v>
      </c>
      <c r="AC66" s="162"/>
      <c r="AD66" s="164" t="s">
        <v>727</v>
      </c>
      <c r="AE66" s="162"/>
      <c r="AF66" s="164" t="s">
        <v>728</v>
      </c>
      <c r="AG66" s="159">
        <v>1</v>
      </c>
      <c r="AH66" s="316" t="s">
        <v>1188</v>
      </c>
      <c r="AI66" s="159">
        <v>1</v>
      </c>
      <c r="AJ66" s="316" t="s">
        <v>1189</v>
      </c>
      <c r="AK66" s="159">
        <v>1</v>
      </c>
      <c r="AL66" s="316" t="s">
        <v>1190</v>
      </c>
      <c r="AM66" s="142" t="s">
        <v>75</v>
      </c>
      <c r="AN66" s="149" t="s">
        <v>729</v>
      </c>
      <c r="AO66" s="255"/>
      <c r="AP66" s="255"/>
      <c r="AQ66" s="269"/>
      <c r="AR66" s="267" t="s">
        <v>1170</v>
      </c>
      <c r="AS66" s="340" t="str">
        <f>IF($AK66&gt;=25%,"RESULTADOS FAVORABLES",IF($AK66&lt;12.5%,"ACCIÓN CORRECTIVA",IF($AK66&lt;24%,"OPORTUNIDAD DE MEJORA")))</f>
        <v>RESULTADOS FAVORABLES</v>
      </c>
      <c r="AT66" s="30">
        <f t="shared" si="2"/>
        <v>0.58333333333333337</v>
      </c>
      <c r="AU66" s="30">
        <f t="shared" si="1"/>
        <v>0.61170000000000002</v>
      </c>
      <c r="AV66" s="1"/>
      <c r="AW66" s="31">
        <f t="shared" si="3"/>
        <v>0.35639999999999999</v>
      </c>
      <c r="AX66" s="31">
        <f t="shared" si="4"/>
        <v>0.35639999999999999</v>
      </c>
      <c r="AY66" s="31">
        <f t="shared" si="5"/>
        <v>0.35639999999999999</v>
      </c>
      <c r="AZ66" s="31">
        <f t="shared" si="6"/>
        <v>0.39360000000000001</v>
      </c>
      <c r="BA66" s="31">
        <f t="shared" si="7"/>
        <v>0.39360000000000001</v>
      </c>
      <c r="BB66" s="31">
        <f t="shared" si="8"/>
        <v>0.39360000000000001</v>
      </c>
      <c r="BC66" s="31">
        <f t="shared" si="9"/>
        <v>0</v>
      </c>
      <c r="BD66" s="31">
        <f t="shared" si="10"/>
        <v>0</v>
      </c>
      <c r="BE66" s="31">
        <f t="shared" si="11"/>
        <v>0</v>
      </c>
      <c r="BF66" s="31">
        <f t="shared" si="12"/>
        <v>1</v>
      </c>
      <c r="BG66" s="31">
        <f t="shared" si="13"/>
        <v>1</v>
      </c>
      <c r="BH66" s="31">
        <f t="shared" si="14"/>
        <v>1</v>
      </c>
    </row>
    <row r="67" spans="1:60" ht="409.5" customHeight="1" x14ac:dyDescent="0.2">
      <c r="A67" s="155" t="s">
        <v>317</v>
      </c>
      <c r="B67" s="18"/>
      <c r="C67" s="154" t="s">
        <v>700</v>
      </c>
      <c r="D67" s="20"/>
      <c r="E67" s="86" t="s">
        <v>716</v>
      </c>
      <c r="F67" s="73" t="s">
        <v>730</v>
      </c>
      <c r="G67" s="37" t="s">
        <v>731</v>
      </c>
      <c r="H67" s="156" t="s">
        <v>732</v>
      </c>
      <c r="I67" s="128" t="s">
        <v>47</v>
      </c>
      <c r="J67" s="157" t="s">
        <v>733</v>
      </c>
      <c r="K67" s="157" t="s">
        <v>49</v>
      </c>
      <c r="L67" s="157" t="s">
        <v>699</v>
      </c>
      <c r="M67" s="24" t="s">
        <v>705</v>
      </c>
      <c r="N67" s="24" t="s">
        <v>705</v>
      </c>
      <c r="O67" s="159">
        <v>0</v>
      </c>
      <c r="P67" s="160" t="s">
        <v>734</v>
      </c>
      <c r="Q67" s="159">
        <v>1</v>
      </c>
      <c r="R67" s="160" t="s">
        <v>735</v>
      </c>
      <c r="S67" s="159">
        <v>1</v>
      </c>
      <c r="T67" s="160" t="s">
        <v>736</v>
      </c>
      <c r="U67" s="159">
        <v>1</v>
      </c>
      <c r="V67" s="160" t="s">
        <v>737</v>
      </c>
      <c r="W67" s="159">
        <v>1</v>
      </c>
      <c r="X67" s="160" t="s">
        <v>738</v>
      </c>
      <c r="Y67" s="159">
        <v>1</v>
      </c>
      <c r="Z67" s="160" t="s">
        <v>739</v>
      </c>
      <c r="AA67" s="159">
        <v>1</v>
      </c>
      <c r="AB67" s="160" t="s">
        <v>740</v>
      </c>
      <c r="AC67" s="159">
        <v>1</v>
      </c>
      <c r="AD67" s="160" t="s">
        <v>741</v>
      </c>
      <c r="AE67" s="159">
        <v>1</v>
      </c>
      <c r="AF67" s="160" t="s">
        <v>742</v>
      </c>
      <c r="AG67" s="161">
        <v>0</v>
      </c>
      <c r="AH67" s="316" t="s">
        <v>1191</v>
      </c>
      <c r="AI67" s="159">
        <v>1</v>
      </c>
      <c r="AJ67" s="316" t="s">
        <v>1192</v>
      </c>
      <c r="AK67" s="159">
        <v>1</v>
      </c>
      <c r="AL67" s="316" t="s">
        <v>1193</v>
      </c>
      <c r="AM67" s="144">
        <v>0</v>
      </c>
      <c r="AN67" s="142" t="s">
        <v>743</v>
      </c>
      <c r="AO67" s="255"/>
      <c r="AP67" s="255"/>
      <c r="AQ67" s="269"/>
      <c r="AR67" s="267" t="s">
        <v>1170</v>
      </c>
      <c r="AS67" s="340" t="str">
        <f t="shared" ref="AS67:AS69" si="18">IF($AK67&gt;=25%,"RESULTADOS FAVORABLES",IF($AK67&lt;12.5%,"ACCIÓN CORRECTIVA",IF($AK67&lt;24%,"OPORTUNIDAD DE MEJORA")))</f>
        <v>RESULTADOS FAVORABLES</v>
      </c>
      <c r="AT67" s="30">
        <f t="shared" si="2"/>
        <v>0.83333333333333337</v>
      </c>
      <c r="AU67" s="30">
        <f t="shared" si="1"/>
        <v>1</v>
      </c>
      <c r="AV67" s="1"/>
      <c r="AW67" s="31">
        <f t="shared" si="3"/>
        <v>0</v>
      </c>
      <c r="AX67" s="31">
        <f t="shared" si="4"/>
        <v>1</v>
      </c>
      <c r="AY67" s="31">
        <f t="shared" si="5"/>
        <v>1</v>
      </c>
      <c r="AZ67" s="31">
        <f t="shared" si="6"/>
        <v>1</v>
      </c>
      <c r="BA67" s="31">
        <f t="shared" si="7"/>
        <v>1</v>
      </c>
      <c r="BB67" s="31">
        <f t="shared" si="8"/>
        <v>1</v>
      </c>
      <c r="BC67" s="31">
        <f t="shared" si="9"/>
        <v>1</v>
      </c>
      <c r="BD67" s="31">
        <f t="shared" si="10"/>
        <v>1</v>
      </c>
      <c r="BE67" s="31">
        <f t="shared" si="11"/>
        <v>1</v>
      </c>
      <c r="BF67" s="31">
        <f t="shared" si="12"/>
        <v>0</v>
      </c>
      <c r="BG67" s="31">
        <f t="shared" si="13"/>
        <v>1</v>
      </c>
      <c r="BH67" s="31">
        <f t="shared" si="14"/>
        <v>1</v>
      </c>
    </row>
    <row r="68" spans="1:60" ht="409.5" x14ac:dyDescent="0.2">
      <c r="A68" s="155" t="s">
        <v>317</v>
      </c>
      <c r="B68" s="18"/>
      <c r="C68" s="154" t="s">
        <v>700</v>
      </c>
      <c r="D68" s="20"/>
      <c r="E68" s="86" t="s">
        <v>744</v>
      </c>
      <c r="F68" s="73" t="s">
        <v>745</v>
      </c>
      <c r="G68" s="37" t="s">
        <v>746</v>
      </c>
      <c r="H68" s="156" t="s">
        <v>747</v>
      </c>
      <c r="I68" s="157" t="s">
        <v>62</v>
      </c>
      <c r="J68" s="157" t="s">
        <v>748</v>
      </c>
      <c r="K68" s="157" t="s">
        <v>49</v>
      </c>
      <c r="L68" s="157" t="s">
        <v>699</v>
      </c>
      <c r="M68" s="24" t="s">
        <v>749</v>
      </c>
      <c r="N68" s="24" t="s">
        <v>749</v>
      </c>
      <c r="O68" s="159">
        <v>0</v>
      </c>
      <c r="P68" s="160" t="s">
        <v>750</v>
      </c>
      <c r="Q68" s="159">
        <v>1</v>
      </c>
      <c r="R68" s="160" t="s">
        <v>751</v>
      </c>
      <c r="S68" s="159">
        <v>0</v>
      </c>
      <c r="T68" s="164" t="s">
        <v>752</v>
      </c>
      <c r="U68" s="159">
        <v>1</v>
      </c>
      <c r="V68" s="160" t="s">
        <v>753</v>
      </c>
      <c r="W68" s="159">
        <v>1</v>
      </c>
      <c r="X68" s="165" t="s">
        <v>754</v>
      </c>
      <c r="Y68" s="159">
        <v>1</v>
      </c>
      <c r="Z68" s="165" t="s">
        <v>755</v>
      </c>
      <c r="AA68" s="162"/>
      <c r="AB68" s="247" t="s">
        <v>756</v>
      </c>
      <c r="AC68" s="162"/>
      <c r="AD68" s="311">
        <v>1</v>
      </c>
      <c r="AE68" s="330">
        <v>1</v>
      </c>
      <c r="AF68" s="167" t="s">
        <v>757</v>
      </c>
      <c r="AG68" s="159">
        <v>1</v>
      </c>
      <c r="AH68" s="317" t="s">
        <v>1194</v>
      </c>
      <c r="AI68" s="159">
        <v>1</v>
      </c>
      <c r="AJ68" s="317" t="s">
        <v>1195</v>
      </c>
      <c r="AK68" s="159">
        <v>1</v>
      </c>
      <c r="AL68" s="317" t="s">
        <v>1196</v>
      </c>
      <c r="AM68" s="142" t="s">
        <v>75</v>
      </c>
      <c r="AN68" s="149" t="s">
        <v>758</v>
      </c>
      <c r="AO68" s="255"/>
      <c r="AP68" s="255"/>
      <c r="AQ68" s="269"/>
      <c r="AR68" s="267" t="s">
        <v>1170</v>
      </c>
      <c r="AS68" s="340" t="str">
        <f t="shared" si="18"/>
        <v>RESULTADOS FAVORABLES</v>
      </c>
      <c r="AT68" s="30">
        <f t="shared" si="2"/>
        <v>0.8</v>
      </c>
      <c r="AU68" s="30">
        <f t="shared" ref="AU68:AU105" si="19">IFERROR((AVERAGEIF(AX68:BH68,"&gt;0%")),0)</f>
        <v>1</v>
      </c>
      <c r="AV68" s="1"/>
      <c r="AW68" s="31">
        <f t="shared" si="3"/>
        <v>0</v>
      </c>
      <c r="AX68" s="31">
        <f t="shared" si="4"/>
        <v>1</v>
      </c>
      <c r="AY68" s="31">
        <f t="shared" si="5"/>
        <v>0</v>
      </c>
      <c r="AZ68" s="31">
        <f t="shared" si="6"/>
        <v>1</v>
      </c>
      <c r="BA68" s="31">
        <f t="shared" si="7"/>
        <v>1</v>
      </c>
      <c r="BB68" s="31">
        <f t="shared" si="8"/>
        <v>1</v>
      </c>
      <c r="BC68" s="31">
        <f t="shared" si="9"/>
        <v>0</v>
      </c>
      <c r="BD68" s="31">
        <f t="shared" si="10"/>
        <v>0</v>
      </c>
      <c r="BE68" s="31">
        <f t="shared" si="11"/>
        <v>1</v>
      </c>
      <c r="BF68" s="31">
        <f t="shared" si="12"/>
        <v>1</v>
      </c>
      <c r="BG68" s="31">
        <f t="shared" si="13"/>
        <v>1</v>
      </c>
      <c r="BH68" s="31">
        <f t="shared" si="14"/>
        <v>1</v>
      </c>
    </row>
    <row r="69" spans="1:60" ht="241.5" customHeight="1" x14ac:dyDescent="0.2">
      <c r="A69" s="155" t="s">
        <v>317</v>
      </c>
      <c r="B69" s="18"/>
      <c r="C69" s="154" t="s">
        <v>700</v>
      </c>
      <c r="D69" s="20" t="s">
        <v>759</v>
      </c>
      <c r="E69" s="86" t="s">
        <v>744</v>
      </c>
      <c r="F69" s="73" t="s">
        <v>760</v>
      </c>
      <c r="G69" s="37" t="s">
        <v>761</v>
      </c>
      <c r="H69" s="156" t="s">
        <v>762</v>
      </c>
      <c r="I69" s="157" t="s">
        <v>62</v>
      </c>
      <c r="J69" s="157" t="s">
        <v>763</v>
      </c>
      <c r="K69" s="157" t="s">
        <v>49</v>
      </c>
      <c r="L69" s="157" t="s">
        <v>764</v>
      </c>
      <c r="M69" s="24" t="s">
        <v>749</v>
      </c>
      <c r="N69" s="24" t="s">
        <v>749</v>
      </c>
      <c r="O69" s="159">
        <v>0</v>
      </c>
      <c r="P69" s="160" t="s">
        <v>765</v>
      </c>
      <c r="Q69" s="159">
        <v>1</v>
      </c>
      <c r="R69" s="160" t="s">
        <v>766</v>
      </c>
      <c r="S69" s="159">
        <v>0</v>
      </c>
      <c r="T69" s="160" t="s">
        <v>767</v>
      </c>
      <c r="U69" s="168">
        <v>1</v>
      </c>
      <c r="V69" s="156" t="s">
        <v>768</v>
      </c>
      <c r="W69" s="168">
        <v>1</v>
      </c>
      <c r="X69" s="156" t="s">
        <v>769</v>
      </c>
      <c r="Y69" s="168">
        <v>1</v>
      </c>
      <c r="Z69" s="156" t="s">
        <v>770</v>
      </c>
      <c r="AA69" s="168">
        <v>1</v>
      </c>
      <c r="AB69" s="169" t="s">
        <v>771</v>
      </c>
      <c r="AC69" s="168">
        <v>1</v>
      </c>
      <c r="AD69" s="169" t="s">
        <v>771</v>
      </c>
      <c r="AE69" s="331">
        <v>1</v>
      </c>
      <c r="AF69" s="169" t="s">
        <v>771</v>
      </c>
      <c r="AG69" s="159">
        <v>1</v>
      </c>
      <c r="AH69" s="42" t="s">
        <v>1197</v>
      </c>
      <c r="AI69" s="159">
        <v>1</v>
      </c>
      <c r="AJ69" s="42" t="s">
        <v>1198</v>
      </c>
      <c r="AK69" s="159">
        <v>1</v>
      </c>
      <c r="AL69" s="42" t="s">
        <v>1199</v>
      </c>
      <c r="AM69" s="142" t="s">
        <v>75</v>
      </c>
      <c r="AN69" s="144">
        <v>1</v>
      </c>
      <c r="AO69" s="255"/>
      <c r="AP69" s="255"/>
      <c r="AQ69" s="269"/>
      <c r="AR69" s="267" t="s">
        <v>1170</v>
      </c>
      <c r="AS69" s="340" t="str">
        <f t="shared" si="18"/>
        <v>RESULTADOS FAVORABLES</v>
      </c>
      <c r="AT69" s="30">
        <f t="shared" ref="AT69:AT105" si="20">AVERAGE(O69,Q69,S69,U69,W69,Y69,AA69,AC69,AE69,AG69,AI69,AK69)</f>
        <v>0.83333333333333337</v>
      </c>
      <c r="AU69" s="30">
        <f t="shared" si="19"/>
        <v>1</v>
      </c>
      <c r="AV69" s="1"/>
      <c r="AW69" s="31">
        <f t="shared" ref="AW69:AW104" si="21">+$O69</f>
        <v>0</v>
      </c>
      <c r="AX69" s="31">
        <f t="shared" ref="AX69:AX104" si="22">+$Q69</f>
        <v>1</v>
      </c>
      <c r="AY69" s="31">
        <f t="shared" ref="AY69:AY104" si="23">+$S69</f>
        <v>0</v>
      </c>
      <c r="AZ69" s="31">
        <f t="shared" ref="AZ69:AZ104" si="24">+$U69</f>
        <v>1</v>
      </c>
      <c r="BA69" s="31">
        <f t="shared" ref="BA69:BA104" si="25">+$W69</f>
        <v>1</v>
      </c>
      <c r="BB69" s="31">
        <f t="shared" ref="BB69:BB104" si="26">+$Y69</f>
        <v>1</v>
      </c>
      <c r="BC69" s="31">
        <f t="shared" ref="BC69:BC104" si="27">+$AA69</f>
        <v>1</v>
      </c>
      <c r="BD69" s="31">
        <f t="shared" ref="BD69:BD104" si="28">+$AC69</f>
        <v>1</v>
      </c>
      <c r="BE69" s="31">
        <f t="shared" ref="BE69:BE104" si="29">+$AE69</f>
        <v>1</v>
      </c>
      <c r="BF69" s="31">
        <f t="shared" ref="BF69:BF104" si="30">+$AG69</f>
        <v>1</v>
      </c>
      <c r="BG69" s="31">
        <f t="shared" ref="BG69:BG104" si="31">+$AI69</f>
        <v>1</v>
      </c>
      <c r="BH69" s="31">
        <f t="shared" ref="BH69:BH104" si="32">+$AK69</f>
        <v>1</v>
      </c>
    </row>
    <row r="70" spans="1:60" ht="137.25" customHeight="1" x14ac:dyDescent="0.2">
      <c r="A70" s="155" t="s">
        <v>317</v>
      </c>
      <c r="B70" s="45" t="s">
        <v>772</v>
      </c>
      <c r="C70" s="19" t="s">
        <v>773</v>
      </c>
      <c r="D70" s="170" t="s">
        <v>774</v>
      </c>
      <c r="E70" s="20" t="s">
        <v>775</v>
      </c>
      <c r="F70" s="73" t="s">
        <v>776</v>
      </c>
      <c r="G70" s="171" t="s">
        <v>777</v>
      </c>
      <c r="H70" s="42" t="s">
        <v>778</v>
      </c>
      <c r="I70" s="23" t="s">
        <v>62</v>
      </c>
      <c r="J70" s="23" t="s">
        <v>779</v>
      </c>
      <c r="K70" s="23" t="s">
        <v>49</v>
      </c>
      <c r="L70" s="157" t="s">
        <v>780</v>
      </c>
      <c r="M70" s="24" t="s">
        <v>781</v>
      </c>
      <c r="N70" s="24" t="s">
        <v>410</v>
      </c>
      <c r="O70" s="144">
        <v>1</v>
      </c>
      <c r="P70" s="171" t="s">
        <v>782</v>
      </c>
      <c r="Q70" s="144">
        <v>0.96</v>
      </c>
      <c r="R70" s="42" t="s">
        <v>783</v>
      </c>
      <c r="S70" s="144">
        <v>0.94</v>
      </c>
      <c r="T70" s="171" t="s">
        <v>784</v>
      </c>
      <c r="U70" s="151">
        <f>(32/33)</f>
        <v>0.96969696969696972</v>
      </c>
      <c r="V70" s="171" t="s">
        <v>785</v>
      </c>
      <c r="W70" s="151">
        <f>(32/33)</f>
        <v>0.96969696969696972</v>
      </c>
      <c r="X70" s="171" t="s">
        <v>786</v>
      </c>
      <c r="Y70" s="151">
        <f>(22/22)</f>
        <v>1</v>
      </c>
      <c r="Z70" s="171" t="s">
        <v>787</v>
      </c>
      <c r="AA70" s="151">
        <f>(26/26)</f>
        <v>1</v>
      </c>
      <c r="AB70" s="171" t="s">
        <v>788</v>
      </c>
      <c r="AC70" s="151">
        <f>(38/38)</f>
        <v>1</v>
      </c>
      <c r="AD70" s="171" t="s">
        <v>789</v>
      </c>
      <c r="AE70" s="151">
        <f>(38/41)</f>
        <v>0.92682926829268297</v>
      </c>
      <c r="AF70" s="42" t="s">
        <v>790</v>
      </c>
      <c r="AG70" s="151">
        <f>(12/12)</f>
        <v>1</v>
      </c>
      <c r="AH70" s="42" t="s">
        <v>1171</v>
      </c>
      <c r="AI70" s="151">
        <f>(17/17)</f>
        <v>1</v>
      </c>
      <c r="AJ70" s="42" t="s">
        <v>1172</v>
      </c>
      <c r="AK70" s="151">
        <f>((8/8))</f>
        <v>1</v>
      </c>
      <c r="AL70" s="42" t="s">
        <v>1173</v>
      </c>
      <c r="AM70" s="24" t="s">
        <v>576</v>
      </c>
      <c r="AN70" s="24" t="s">
        <v>791</v>
      </c>
      <c r="AO70" s="255"/>
      <c r="AP70" s="255"/>
      <c r="AQ70" s="269"/>
      <c r="AR70" s="267" t="s">
        <v>1153</v>
      </c>
      <c r="AS70" s="340" t="str">
        <f t="shared" ref="AS70:AS80" si="33">IF($AE70&gt;=25%,"RESULTADOS FAVORABLES",IF($AE70&lt;12.5%,"ACCIÓN CORRECTIVA",IF($AE70&lt;24%,"OPORTUNIDAD DE MEJORA")))</f>
        <v>RESULTADOS FAVORABLES</v>
      </c>
      <c r="AT70" s="30">
        <f t="shared" si="20"/>
        <v>0.98051860064055196</v>
      </c>
      <c r="AU70" s="30">
        <f t="shared" si="19"/>
        <v>0.97874756433514742</v>
      </c>
      <c r="AV70" s="1"/>
      <c r="AW70" s="31">
        <f t="shared" si="21"/>
        <v>1</v>
      </c>
      <c r="AX70" s="31">
        <f t="shared" si="22"/>
        <v>0.96</v>
      </c>
      <c r="AY70" s="31">
        <f t="shared" si="23"/>
        <v>0.94</v>
      </c>
      <c r="AZ70" s="31">
        <f t="shared" si="24"/>
        <v>0.96969696969696972</v>
      </c>
      <c r="BA70" s="31">
        <f t="shared" si="25"/>
        <v>0.96969696969696972</v>
      </c>
      <c r="BB70" s="31">
        <f t="shared" si="26"/>
        <v>1</v>
      </c>
      <c r="BC70" s="31">
        <f t="shared" si="27"/>
        <v>1</v>
      </c>
      <c r="BD70" s="31">
        <f t="shared" si="28"/>
        <v>1</v>
      </c>
      <c r="BE70" s="31">
        <f t="shared" si="29"/>
        <v>0.92682926829268297</v>
      </c>
      <c r="BF70" s="31">
        <f t="shared" si="30"/>
        <v>1</v>
      </c>
      <c r="BG70" s="31">
        <f t="shared" si="31"/>
        <v>1</v>
      </c>
      <c r="BH70" s="31">
        <f t="shared" si="32"/>
        <v>1</v>
      </c>
    </row>
    <row r="71" spans="1:60" ht="161.25" customHeight="1" x14ac:dyDescent="0.2">
      <c r="A71" s="155" t="s">
        <v>317</v>
      </c>
      <c r="B71" s="18"/>
      <c r="C71" s="19" t="s">
        <v>773</v>
      </c>
      <c r="D71" s="20"/>
      <c r="E71" s="20" t="s">
        <v>775</v>
      </c>
      <c r="F71" s="73" t="s">
        <v>792</v>
      </c>
      <c r="G71" s="171" t="s">
        <v>793</v>
      </c>
      <c r="H71" s="42" t="s">
        <v>794</v>
      </c>
      <c r="I71" s="23" t="s">
        <v>62</v>
      </c>
      <c r="J71" s="23" t="s">
        <v>795</v>
      </c>
      <c r="K71" s="23" t="s">
        <v>49</v>
      </c>
      <c r="L71" s="157" t="s">
        <v>796</v>
      </c>
      <c r="M71" s="24" t="s">
        <v>410</v>
      </c>
      <c r="N71" s="24" t="s">
        <v>410</v>
      </c>
      <c r="O71" s="144">
        <f>3/9</f>
        <v>0.33333333333333331</v>
      </c>
      <c r="P71" s="42" t="s">
        <v>797</v>
      </c>
      <c r="Q71" s="144">
        <f>2/9</f>
        <v>0.22222222222222221</v>
      </c>
      <c r="R71" s="42" t="s">
        <v>798</v>
      </c>
      <c r="S71" s="144">
        <f>2/9</f>
        <v>0.22222222222222221</v>
      </c>
      <c r="T71" s="42" t="s">
        <v>799</v>
      </c>
      <c r="U71" s="151">
        <v>0.22</v>
      </c>
      <c r="V71" s="171" t="s">
        <v>800</v>
      </c>
      <c r="W71" s="144">
        <v>0.22</v>
      </c>
      <c r="X71" s="171" t="s">
        <v>801</v>
      </c>
      <c r="Y71" s="144">
        <v>0.22</v>
      </c>
      <c r="Z71" s="171" t="s">
        <v>802</v>
      </c>
      <c r="AA71" s="144">
        <v>0.33333333333333331</v>
      </c>
      <c r="AB71" s="42" t="s">
        <v>803</v>
      </c>
      <c r="AC71" s="144">
        <v>0.22222222222222221</v>
      </c>
      <c r="AD71" s="42" t="s">
        <v>804</v>
      </c>
      <c r="AE71" s="144">
        <v>0.22222222222222221</v>
      </c>
      <c r="AF71" s="42" t="s">
        <v>805</v>
      </c>
      <c r="AG71" s="144">
        <f>1/9</f>
        <v>0.1111111111111111</v>
      </c>
      <c r="AH71" s="42" t="s">
        <v>805</v>
      </c>
      <c r="AI71" s="144">
        <f>1/9</f>
        <v>0.1111111111111111</v>
      </c>
      <c r="AJ71" s="152" t="s">
        <v>1174</v>
      </c>
      <c r="AK71" s="144">
        <f>1/9</f>
        <v>0.1111111111111111</v>
      </c>
      <c r="AL71" s="152" t="s">
        <v>1175</v>
      </c>
      <c r="AM71" s="38">
        <v>0</v>
      </c>
      <c r="AN71" s="38" t="s">
        <v>806</v>
      </c>
      <c r="AO71" s="193"/>
      <c r="AP71" s="255"/>
      <c r="AQ71" s="269"/>
      <c r="AR71" s="267" t="s">
        <v>1153</v>
      </c>
      <c r="AS71" s="340" t="str">
        <f>IF($AE71&lt;=30%,"RESULTADOS FAVORABLES",IF($AE71&gt;=35%,"ACCIÓN CORRECTIVA",IF($AE71&gt;=30%,"OPORTUNIDAD DE MEJORA")))</f>
        <v>RESULTADOS FAVORABLES</v>
      </c>
      <c r="AT71" s="30">
        <f t="shared" si="20"/>
        <v>0.21240740740740741</v>
      </c>
      <c r="AU71" s="30">
        <f t="shared" si="19"/>
        <v>0.20141414141414141</v>
      </c>
      <c r="AV71" s="1"/>
      <c r="AW71" s="31">
        <f t="shared" si="21"/>
        <v>0.33333333333333331</v>
      </c>
      <c r="AX71" s="31">
        <f t="shared" si="22"/>
        <v>0.22222222222222221</v>
      </c>
      <c r="AY71" s="31">
        <f t="shared" si="23"/>
        <v>0.22222222222222221</v>
      </c>
      <c r="AZ71" s="31">
        <f t="shared" si="24"/>
        <v>0.22</v>
      </c>
      <c r="BA71" s="31">
        <f t="shared" si="25"/>
        <v>0.22</v>
      </c>
      <c r="BB71" s="31">
        <f t="shared" si="26"/>
        <v>0.22</v>
      </c>
      <c r="BC71" s="31">
        <f t="shared" si="27"/>
        <v>0.33333333333333331</v>
      </c>
      <c r="BD71" s="31">
        <f t="shared" si="28"/>
        <v>0.22222222222222221</v>
      </c>
      <c r="BE71" s="31">
        <f t="shared" si="29"/>
        <v>0.22222222222222221</v>
      </c>
      <c r="BF71" s="31">
        <f t="shared" si="30"/>
        <v>0.1111111111111111</v>
      </c>
      <c r="BG71" s="31">
        <f t="shared" si="31"/>
        <v>0.1111111111111111</v>
      </c>
      <c r="BH71" s="31">
        <f t="shared" si="32"/>
        <v>0.1111111111111111</v>
      </c>
    </row>
    <row r="72" spans="1:60" ht="405" x14ac:dyDescent="0.2">
      <c r="A72" s="155" t="s">
        <v>317</v>
      </c>
      <c r="B72" s="18"/>
      <c r="C72" s="19" t="s">
        <v>773</v>
      </c>
      <c r="D72" s="20"/>
      <c r="E72" s="20" t="s">
        <v>775</v>
      </c>
      <c r="F72" s="73" t="s">
        <v>807</v>
      </c>
      <c r="G72" s="171" t="s">
        <v>808</v>
      </c>
      <c r="H72" s="42" t="s">
        <v>809</v>
      </c>
      <c r="I72" s="23" t="s">
        <v>62</v>
      </c>
      <c r="J72" s="23" t="s">
        <v>810</v>
      </c>
      <c r="K72" s="23" t="s">
        <v>49</v>
      </c>
      <c r="L72" s="23" t="s">
        <v>811</v>
      </c>
      <c r="M72" s="24" t="s">
        <v>410</v>
      </c>
      <c r="N72" s="24" t="s">
        <v>81</v>
      </c>
      <c r="O72" s="144">
        <v>0.03</v>
      </c>
      <c r="P72" s="42" t="s">
        <v>1125</v>
      </c>
      <c r="Q72" s="144">
        <v>0.04</v>
      </c>
      <c r="R72" s="303" t="s">
        <v>1126</v>
      </c>
      <c r="S72" s="144">
        <v>0.05</v>
      </c>
      <c r="T72" s="303" t="s">
        <v>1127</v>
      </c>
      <c r="U72" s="150">
        <f>45/162</f>
        <v>0.27777777777777779</v>
      </c>
      <c r="V72" s="303" t="s">
        <v>812</v>
      </c>
      <c r="W72" s="150">
        <f>45/162</f>
        <v>0.27777777777777779</v>
      </c>
      <c r="X72" s="303" t="s">
        <v>1128</v>
      </c>
      <c r="Y72" s="150">
        <f>45/162</f>
        <v>0.27777777777777779</v>
      </c>
      <c r="Z72" s="303" t="s">
        <v>1129</v>
      </c>
      <c r="AA72" s="150">
        <f>45/162</f>
        <v>0.27777777777777779</v>
      </c>
      <c r="AB72" s="303" t="s">
        <v>1130</v>
      </c>
      <c r="AC72" s="150">
        <f>45/162</f>
        <v>0.27777777777777779</v>
      </c>
      <c r="AD72" s="303" t="s">
        <v>1131</v>
      </c>
      <c r="AE72" s="150">
        <f>45/162</f>
        <v>0.27777777777777779</v>
      </c>
      <c r="AF72" s="303" t="s">
        <v>1132</v>
      </c>
      <c r="AG72" s="150">
        <f>45/162</f>
        <v>0.27777777777777779</v>
      </c>
      <c r="AH72" s="20" t="s">
        <v>1133</v>
      </c>
      <c r="AI72" s="150">
        <f>62/211</f>
        <v>0.29383886255924169</v>
      </c>
      <c r="AJ72" s="20" t="s">
        <v>1134</v>
      </c>
      <c r="AK72" s="150">
        <f>62/211</f>
        <v>0.29383886255924169</v>
      </c>
      <c r="AL72" s="20" t="s">
        <v>1135</v>
      </c>
      <c r="AM72" s="39">
        <v>0.27779999999999999</v>
      </c>
      <c r="AN72" s="38">
        <v>1</v>
      </c>
      <c r="AO72" s="270"/>
      <c r="AP72" s="272"/>
      <c r="AQ72" s="255"/>
      <c r="AR72" s="264" t="s">
        <v>1177</v>
      </c>
      <c r="AS72" s="340" t="str">
        <f>IF($AK72&gt;=100%,"RESULTADOS FAVORABLES",IF($AK72&lt;95%,"ACCIÓN CORRECTIVA",IF($AK72&lt;97%,"OPORTUNIDAD DE MEJORA")))</f>
        <v>ACCIÓN CORRECTIVA</v>
      </c>
      <c r="AT72" s="30">
        <f t="shared" si="20"/>
        <v>0.22101018079691068</v>
      </c>
      <c r="AU72" s="30">
        <f t="shared" si="19"/>
        <v>0.23837474268753889</v>
      </c>
      <c r="AV72" s="172"/>
      <c r="AW72" s="31">
        <f t="shared" si="21"/>
        <v>0.03</v>
      </c>
      <c r="AX72" s="31">
        <f t="shared" si="22"/>
        <v>0.04</v>
      </c>
      <c r="AY72" s="31">
        <f t="shared" si="23"/>
        <v>0.05</v>
      </c>
      <c r="AZ72" s="31">
        <f t="shared" si="24"/>
        <v>0.27777777777777779</v>
      </c>
      <c r="BA72" s="31">
        <f t="shared" si="25"/>
        <v>0.27777777777777779</v>
      </c>
      <c r="BB72" s="31">
        <f t="shared" si="26"/>
        <v>0.27777777777777779</v>
      </c>
      <c r="BC72" s="31">
        <f t="shared" si="27"/>
        <v>0.27777777777777779</v>
      </c>
      <c r="BD72" s="31">
        <f t="shared" si="28"/>
        <v>0.27777777777777779</v>
      </c>
      <c r="BE72" s="31">
        <f t="shared" si="29"/>
        <v>0.27777777777777779</v>
      </c>
      <c r="BF72" s="31">
        <f t="shared" si="30"/>
        <v>0.27777777777777779</v>
      </c>
      <c r="BG72" s="31">
        <f t="shared" si="31"/>
        <v>0.29383886255924169</v>
      </c>
      <c r="BH72" s="31">
        <f t="shared" si="32"/>
        <v>0.29383886255924169</v>
      </c>
    </row>
    <row r="73" spans="1:60" ht="228" customHeight="1" x14ac:dyDescent="0.2">
      <c r="A73" s="155" t="s">
        <v>317</v>
      </c>
      <c r="B73" s="173"/>
      <c r="C73" s="174" t="s">
        <v>773</v>
      </c>
      <c r="D73" s="49"/>
      <c r="E73" s="49" t="s">
        <v>775</v>
      </c>
      <c r="F73" s="175" t="s">
        <v>813</v>
      </c>
      <c r="G73" s="176" t="s">
        <v>1269</v>
      </c>
      <c r="H73" s="299" t="s">
        <v>814</v>
      </c>
      <c r="I73" s="52" t="s">
        <v>62</v>
      </c>
      <c r="J73" s="177" t="s">
        <v>815</v>
      </c>
      <c r="K73" s="23" t="s">
        <v>49</v>
      </c>
      <c r="L73" s="178" t="s">
        <v>816</v>
      </c>
      <c r="M73" s="24" t="s">
        <v>533</v>
      </c>
      <c r="N73" s="24" t="s">
        <v>533</v>
      </c>
      <c r="O73" s="150">
        <f>(22/127)</f>
        <v>0.17322834645669291</v>
      </c>
      <c r="P73" s="179" t="s">
        <v>1277</v>
      </c>
      <c r="Q73" s="150">
        <f>(21/127)</f>
        <v>0.16535433070866143</v>
      </c>
      <c r="R73" s="179" t="s">
        <v>1276</v>
      </c>
      <c r="S73" s="150">
        <f>(21/127)</f>
        <v>0.16535433070866143</v>
      </c>
      <c r="T73" s="179" t="s">
        <v>1275</v>
      </c>
      <c r="U73" s="150">
        <f>(21/127)</f>
        <v>0.16535433070866143</v>
      </c>
      <c r="V73" s="20" t="s">
        <v>1278</v>
      </c>
      <c r="W73" s="150">
        <f>(21/127)</f>
        <v>0.16535433070866143</v>
      </c>
      <c r="X73" s="20" t="s">
        <v>1279</v>
      </c>
      <c r="Y73" s="150">
        <f>(21/127)</f>
        <v>0.16535433070866143</v>
      </c>
      <c r="Z73" s="20" t="s">
        <v>1280</v>
      </c>
      <c r="AA73" s="150">
        <f>(22/127)</f>
        <v>0.17322834645669291</v>
      </c>
      <c r="AB73" s="179" t="s">
        <v>1281</v>
      </c>
      <c r="AC73" s="150">
        <f>(21/127)</f>
        <v>0.16535433070866143</v>
      </c>
      <c r="AD73" s="179" t="s">
        <v>1282</v>
      </c>
      <c r="AE73" s="150">
        <f>(21/127)</f>
        <v>0.16535433070866143</v>
      </c>
      <c r="AF73" s="179" t="s">
        <v>1282</v>
      </c>
      <c r="AG73" s="150">
        <f>(21/127)</f>
        <v>0.16535433070866143</v>
      </c>
      <c r="AH73" s="20" t="s">
        <v>1283</v>
      </c>
      <c r="AI73" s="150">
        <f>(21/127)</f>
        <v>0.16535433070866143</v>
      </c>
      <c r="AJ73" s="20" t="s">
        <v>1283</v>
      </c>
      <c r="AK73" s="150">
        <f>(21/127)</f>
        <v>0.16535433070866143</v>
      </c>
      <c r="AL73" s="20" t="s">
        <v>1176</v>
      </c>
      <c r="AM73" s="180">
        <v>0</v>
      </c>
      <c r="AN73" s="180">
        <v>1</v>
      </c>
      <c r="AO73" s="271"/>
      <c r="AP73" s="273"/>
      <c r="AQ73" s="346"/>
      <c r="AR73" s="267" t="s">
        <v>1153</v>
      </c>
      <c r="AS73" s="340" t="str">
        <f>IF($AE73&gt;=16%,"RESULTADOS FAVORABLES",IF($AE73&lt;=15%,"ACCIÓN CORRECTIVA",IF($AE73&lt;=15.6%,"OPORTUNIDAD DE MEJORA")))</f>
        <v>RESULTADOS FAVORABLES</v>
      </c>
      <c r="AT73" s="30">
        <f t="shared" si="20"/>
        <v>0.16666666666666663</v>
      </c>
      <c r="AU73" s="30">
        <f t="shared" si="19"/>
        <v>0.1660701503221188</v>
      </c>
      <c r="AV73" s="1"/>
      <c r="AW73" s="31">
        <f t="shared" si="21"/>
        <v>0.17322834645669291</v>
      </c>
      <c r="AX73" s="31">
        <f t="shared" si="22"/>
        <v>0.16535433070866143</v>
      </c>
      <c r="AY73" s="31">
        <f t="shared" si="23"/>
        <v>0.16535433070866143</v>
      </c>
      <c r="AZ73" s="31">
        <f t="shared" si="24"/>
        <v>0.16535433070866143</v>
      </c>
      <c r="BA73" s="31">
        <f t="shared" si="25"/>
        <v>0.16535433070866143</v>
      </c>
      <c r="BB73" s="31">
        <f t="shared" si="26"/>
        <v>0.16535433070866143</v>
      </c>
      <c r="BC73" s="31">
        <f t="shared" si="27"/>
        <v>0.17322834645669291</v>
      </c>
      <c r="BD73" s="31">
        <f t="shared" si="28"/>
        <v>0.16535433070866143</v>
      </c>
      <c r="BE73" s="31">
        <f t="shared" si="29"/>
        <v>0.16535433070866143</v>
      </c>
      <c r="BF73" s="31">
        <f t="shared" si="30"/>
        <v>0.16535433070866143</v>
      </c>
      <c r="BG73" s="31">
        <f t="shared" si="31"/>
        <v>0.16535433070866143</v>
      </c>
      <c r="BH73" s="31">
        <f t="shared" si="32"/>
        <v>0.16535433070866143</v>
      </c>
    </row>
    <row r="74" spans="1:60" s="319" customFormat="1" ht="90" x14ac:dyDescent="0.2">
      <c r="A74" s="155" t="s">
        <v>317</v>
      </c>
      <c r="B74" s="45" t="s">
        <v>817</v>
      </c>
      <c r="C74" s="19" t="s">
        <v>818</v>
      </c>
      <c r="D74" s="20" t="s">
        <v>819</v>
      </c>
      <c r="E74" s="20" t="s">
        <v>820</v>
      </c>
      <c r="F74" s="73" t="s">
        <v>821</v>
      </c>
      <c r="G74" s="171" t="s">
        <v>822</v>
      </c>
      <c r="H74" s="171" t="s">
        <v>823</v>
      </c>
      <c r="I74" s="23" t="s">
        <v>824</v>
      </c>
      <c r="J74" s="23" t="s">
        <v>825</v>
      </c>
      <c r="K74" s="33" t="s">
        <v>826</v>
      </c>
      <c r="L74" s="157" t="s">
        <v>252</v>
      </c>
      <c r="M74" s="24" t="s">
        <v>827</v>
      </c>
      <c r="N74" s="24" t="s">
        <v>827</v>
      </c>
      <c r="O74" s="151">
        <v>0</v>
      </c>
      <c r="P74" s="36" t="s">
        <v>826</v>
      </c>
      <c r="Q74" s="151">
        <v>0</v>
      </c>
      <c r="R74" s="36" t="s">
        <v>828</v>
      </c>
      <c r="S74" s="151">
        <v>0</v>
      </c>
      <c r="T74" s="36" t="s">
        <v>828</v>
      </c>
      <c r="U74" s="151">
        <v>0</v>
      </c>
      <c r="V74" s="153"/>
      <c r="W74" s="151">
        <v>0</v>
      </c>
      <c r="X74" s="153"/>
      <c r="Y74" s="151">
        <v>0</v>
      </c>
      <c r="Z74" s="153"/>
      <c r="AA74" s="145"/>
      <c r="AB74" s="153"/>
      <c r="AC74" s="145"/>
      <c r="AD74" s="153"/>
      <c r="AE74" s="145"/>
      <c r="AF74" s="153"/>
      <c r="AG74" s="145"/>
      <c r="AH74" s="153"/>
      <c r="AI74" s="145"/>
      <c r="AJ74" s="153"/>
      <c r="AK74" s="145"/>
      <c r="AL74" s="153"/>
      <c r="AM74" s="38">
        <v>0</v>
      </c>
      <c r="AN74" s="38" t="s">
        <v>829</v>
      </c>
      <c r="AO74" s="255"/>
      <c r="AP74" s="255"/>
      <c r="AQ74" s="255"/>
      <c r="AR74" s="253" t="s">
        <v>1235</v>
      </c>
      <c r="AS74" s="340" t="str">
        <f t="shared" si="33"/>
        <v>ACCIÓN CORRECTIVA</v>
      </c>
      <c r="AT74" s="30">
        <f t="shared" si="20"/>
        <v>0</v>
      </c>
      <c r="AU74" s="30">
        <f t="shared" si="19"/>
        <v>0</v>
      </c>
      <c r="AV74" s="181"/>
      <c r="AW74" s="31">
        <f t="shared" si="21"/>
        <v>0</v>
      </c>
      <c r="AX74" s="31">
        <f t="shared" si="22"/>
        <v>0</v>
      </c>
      <c r="AY74" s="31">
        <f t="shared" si="23"/>
        <v>0</v>
      </c>
      <c r="AZ74" s="31">
        <f t="shared" si="24"/>
        <v>0</v>
      </c>
      <c r="BA74" s="31">
        <f t="shared" si="25"/>
        <v>0</v>
      </c>
      <c r="BB74" s="31">
        <f t="shared" si="26"/>
        <v>0</v>
      </c>
      <c r="BC74" s="31">
        <f t="shared" si="27"/>
        <v>0</v>
      </c>
      <c r="BD74" s="31">
        <f t="shared" si="28"/>
        <v>0</v>
      </c>
      <c r="BE74" s="31">
        <f t="shared" si="29"/>
        <v>0</v>
      </c>
      <c r="BF74" s="31">
        <f t="shared" si="30"/>
        <v>0</v>
      </c>
      <c r="BG74" s="31">
        <f t="shared" si="31"/>
        <v>0</v>
      </c>
      <c r="BH74" s="31">
        <f t="shared" si="32"/>
        <v>0</v>
      </c>
    </row>
    <row r="75" spans="1:60" s="319" customFormat="1" ht="90" x14ac:dyDescent="0.2">
      <c r="A75" s="155" t="s">
        <v>317</v>
      </c>
      <c r="B75" s="45"/>
      <c r="C75" s="19" t="s">
        <v>818</v>
      </c>
      <c r="D75" s="20"/>
      <c r="E75" s="20" t="s">
        <v>820</v>
      </c>
      <c r="F75" s="73" t="s">
        <v>830</v>
      </c>
      <c r="G75" s="171" t="s">
        <v>831</v>
      </c>
      <c r="H75" s="171" t="s">
        <v>832</v>
      </c>
      <c r="I75" s="23" t="s">
        <v>824</v>
      </c>
      <c r="J75" s="23" t="s">
        <v>833</v>
      </c>
      <c r="K75" s="33" t="s">
        <v>826</v>
      </c>
      <c r="L75" s="157" t="s">
        <v>252</v>
      </c>
      <c r="M75" s="24" t="s">
        <v>827</v>
      </c>
      <c r="N75" s="24" t="s">
        <v>827</v>
      </c>
      <c r="O75" s="151">
        <v>0</v>
      </c>
      <c r="P75" s="36" t="s">
        <v>826</v>
      </c>
      <c r="Q75" s="151">
        <v>0</v>
      </c>
      <c r="R75" s="36" t="s">
        <v>828</v>
      </c>
      <c r="S75" s="151">
        <v>0</v>
      </c>
      <c r="T75" s="36" t="s">
        <v>828</v>
      </c>
      <c r="U75" s="151">
        <v>0</v>
      </c>
      <c r="V75" s="153"/>
      <c r="W75" s="151">
        <v>0</v>
      </c>
      <c r="X75" s="153"/>
      <c r="Y75" s="151">
        <v>0</v>
      </c>
      <c r="Z75" s="153"/>
      <c r="AA75" s="145"/>
      <c r="AB75" s="153"/>
      <c r="AC75" s="145"/>
      <c r="AD75" s="153"/>
      <c r="AE75" s="145"/>
      <c r="AF75" s="153"/>
      <c r="AG75" s="145"/>
      <c r="AH75" s="153"/>
      <c r="AI75" s="145"/>
      <c r="AJ75" s="153"/>
      <c r="AK75" s="145"/>
      <c r="AL75" s="153"/>
      <c r="AM75" s="38">
        <v>0</v>
      </c>
      <c r="AN75" s="38" t="s">
        <v>829</v>
      </c>
      <c r="AO75" s="255"/>
      <c r="AP75" s="255"/>
      <c r="AQ75" s="255"/>
      <c r="AR75" s="253" t="s">
        <v>1235</v>
      </c>
      <c r="AS75" s="340" t="str">
        <f t="shared" si="33"/>
        <v>ACCIÓN CORRECTIVA</v>
      </c>
      <c r="AT75" s="30">
        <f t="shared" si="20"/>
        <v>0</v>
      </c>
      <c r="AU75" s="30">
        <f t="shared" si="19"/>
        <v>0</v>
      </c>
      <c r="AV75" s="181"/>
      <c r="AW75" s="31">
        <f t="shared" si="21"/>
        <v>0</v>
      </c>
      <c r="AX75" s="31">
        <f t="shared" si="22"/>
        <v>0</v>
      </c>
      <c r="AY75" s="31">
        <f t="shared" si="23"/>
        <v>0</v>
      </c>
      <c r="AZ75" s="31">
        <f t="shared" si="24"/>
        <v>0</v>
      </c>
      <c r="BA75" s="31">
        <f t="shared" si="25"/>
        <v>0</v>
      </c>
      <c r="BB75" s="31">
        <f t="shared" si="26"/>
        <v>0</v>
      </c>
      <c r="BC75" s="31">
        <f t="shared" si="27"/>
        <v>0</v>
      </c>
      <c r="BD75" s="31">
        <f t="shared" si="28"/>
        <v>0</v>
      </c>
      <c r="BE75" s="31">
        <f t="shared" si="29"/>
        <v>0</v>
      </c>
      <c r="BF75" s="31">
        <f t="shared" si="30"/>
        <v>0</v>
      </c>
      <c r="BG75" s="31">
        <f t="shared" si="31"/>
        <v>0</v>
      </c>
      <c r="BH75" s="31">
        <f t="shared" si="32"/>
        <v>0</v>
      </c>
    </row>
    <row r="76" spans="1:60" s="319" customFormat="1" ht="83.25" customHeight="1" x14ac:dyDescent="0.2">
      <c r="A76" s="155" t="s">
        <v>317</v>
      </c>
      <c r="B76" s="45"/>
      <c r="C76" s="19" t="s">
        <v>818</v>
      </c>
      <c r="D76" s="20"/>
      <c r="E76" s="20" t="s">
        <v>834</v>
      </c>
      <c r="F76" s="73" t="s">
        <v>835</v>
      </c>
      <c r="G76" s="171" t="s">
        <v>836</v>
      </c>
      <c r="H76" s="171" t="s">
        <v>837</v>
      </c>
      <c r="I76" s="23" t="s">
        <v>824</v>
      </c>
      <c r="J76" s="23" t="s">
        <v>838</v>
      </c>
      <c r="K76" s="182" t="s">
        <v>839</v>
      </c>
      <c r="L76" s="157" t="s">
        <v>252</v>
      </c>
      <c r="M76" s="24" t="s">
        <v>410</v>
      </c>
      <c r="N76" s="24" t="s">
        <v>410</v>
      </c>
      <c r="O76" s="144">
        <v>0.8</v>
      </c>
      <c r="P76" s="36" t="s">
        <v>840</v>
      </c>
      <c r="Q76" s="144">
        <v>0.8</v>
      </c>
      <c r="R76" s="36" t="s">
        <v>841</v>
      </c>
      <c r="S76" s="144">
        <v>0.8</v>
      </c>
      <c r="T76" s="36" t="s">
        <v>842</v>
      </c>
      <c r="U76" s="183">
        <v>0.8</v>
      </c>
      <c r="V76" s="152" t="s">
        <v>843</v>
      </c>
      <c r="W76" s="184">
        <v>0.8</v>
      </c>
      <c r="X76" s="152" t="s">
        <v>844</v>
      </c>
      <c r="Y76" s="40">
        <v>0</v>
      </c>
      <c r="Z76" s="153"/>
      <c r="AA76" s="145"/>
      <c r="AB76" s="153"/>
      <c r="AC76" s="145"/>
      <c r="AD76" s="153"/>
      <c r="AE76" s="145"/>
      <c r="AF76" s="153"/>
      <c r="AG76" s="145"/>
      <c r="AH76" s="153"/>
      <c r="AI76" s="145"/>
      <c r="AJ76" s="153"/>
      <c r="AK76" s="145"/>
      <c r="AL76" s="153"/>
      <c r="AM76" s="38">
        <v>0</v>
      </c>
      <c r="AN76" s="38" t="s">
        <v>829</v>
      </c>
      <c r="AO76" s="255"/>
      <c r="AP76" s="255"/>
      <c r="AQ76" s="255"/>
      <c r="AR76" s="253" t="s">
        <v>1235</v>
      </c>
      <c r="AS76" s="340" t="str">
        <f t="shared" si="33"/>
        <v>ACCIÓN CORRECTIVA</v>
      </c>
      <c r="AT76" s="30">
        <f t="shared" si="20"/>
        <v>0.66666666666666663</v>
      </c>
      <c r="AU76" s="30">
        <f t="shared" si="19"/>
        <v>0.8</v>
      </c>
      <c r="AV76" s="181"/>
      <c r="AW76" s="31">
        <f t="shared" si="21"/>
        <v>0.8</v>
      </c>
      <c r="AX76" s="31">
        <f t="shared" si="22"/>
        <v>0.8</v>
      </c>
      <c r="AY76" s="31">
        <f t="shared" si="23"/>
        <v>0.8</v>
      </c>
      <c r="AZ76" s="31">
        <f t="shared" si="24"/>
        <v>0.8</v>
      </c>
      <c r="BA76" s="31">
        <f t="shared" si="25"/>
        <v>0.8</v>
      </c>
      <c r="BB76" s="31">
        <f t="shared" si="26"/>
        <v>0</v>
      </c>
      <c r="BC76" s="31">
        <f t="shared" si="27"/>
        <v>0</v>
      </c>
      <c r="BD76" s="31">
        <f t="shared" si="28"/>
        <v>0</v>
      </c>
      <c r="BE76" s="31">
        <f t="shared" si="29"/>
        <v>0</v>
      </c>
      <c r="BF76" s="31">
        <f t="shared" si="30"/>
        <v>0</v>
      </c>
      <c r="BG76" s="31">
        <f t="shared" si="31"/>
        <v>0</v>
      </c>
      <c r="BH76" s="31">
        <f t="shared" si="32"/>
        <v>0</v>
      </c>
    </row>
    <row r="77" spans="1:60" s="319" customFormat="1" ht="84" customHeight="1" x14ac:dyDescent="0.2">
      <c r="A77" s="155" t="s">
        <v>317</v>
      </c>
      <c r="B77" s="45"/>
      <c r="C77" s="19" t="s">
        <v>818</v>
      </c>
      <c r="D77" s="20"/>
      <c r="E77" s="20" t="s">
        <v>834</v>
      </c>
      <c r="F77" s="73" t="s">
        <v>845</v>
      </c>
      <c r="G77" s="37" t="s">
        <v>846</v>
      </c>
      <c r="H77" s="42" t="s">
        <v>847</v>
      </c>
      <c r="I77" s="23" t="s">
        <v>824</v>
      </c>
      <c r="J77" s="33" t="s">
        <v>848</v>
      </c>
      <c r="K77" s="33" t="s">
        <v>849</v>
      </c>
      <c r="L77" s="157" t="s">
        <v>252</v>
      </c>
      <c r="M77" s="24" t="s">
        <v>533</v>
      </c>
      <c r="N77" s="24" t="s">
        <v>533</v>
      </c>
      <c r="O77" s="144">
        <v>1</v>
      </c>
      <c r="P77" s="36" t="s">
        <v>850</v>
      </c>
      <c r="Q77" s="144">
        <v>1</v>
      </c>
      <c r="R77" s="36" t="s">
        <v>851</v>
      </c>
      <c r="S77" s="144">
        <v>1</v>
      </c>
      <c r="T77" s="36" t="s">
        <v>851</v>
      </c>
      <c r="U77" s="40">
        <v>0</v>
      </c>
      <c r="V77" s="153"/>
      <c r="W77" s="40">
        <v>0</v>
      </c>
      <c r="X77" s="153"/>
      <c r="Y77" s="40">
        <v>0</v>
      </c>
      <c r="Z77" s="153"/>
      <c r="AA77" s="145"/>
      <c r="AB77" s="153"/>
      <c r="AC77" s="145"/>
      <c r="AD77" s="153"/>
      <c r="AE77" s="145"/>
      <c r="AF77" s="153"/>
      <c r="AG77" s="145"/>
      <c r="AH77" s="153"/>
      <c r="AI77" s="145"/>
      <c r="AJ77" s="153"/>
      <c r="AK77" s="145"/>
      <c r="AL77" s="153"/>
      <c r="AM77" s="38">
        <v>0</v>
      </c>
      <c r="AN77" s="38" t="s">
        <v>829</v>
      </c>
      <c r="AO77" s="255"/>
      <c r="AP77" s="255"/>
      <c r="AQ77" s="255"/>
      <c r="AR77" s="253" t="s">
        <v>1235</v>
      </c>
      <c r="AS77" s="340" t="str">
        <f t="shared" si="33"/>
        <v>ACCIÓN CORRECTIVA</v>
      </c>
      <c r="AT77" s="30">
        <f t="shared" si="20"/>
        <v>0.5</v>
      </c>
      <c r="AU77" s="30">
        <f t="shared" si="19"/>
        <v>1</v>
      </c>
      <c r="AV77" s="181"/>
      <c r="AW77" s="31">
        <f t="shared" si="21"/>
        <v>1</v>
      </c>
      <c r="AX77" s="31">
        <f t="shared" si="22"/>
        <v>1</v>
      </c>
      <c r="AY77" s="31">
        <f t="shared" si="23"/>
        <v>1</v>
      </c>
      <c r="AZ77" s="31">
        <f t="shared" si="24"/>
        <v>0</v>
      </c>
      <c r="BA77" s="31">
        <f t="shared" si="25"/>
        <v>0</v>
      </c>
      <c r="BB77" s="31">
        <f t="shared" si="26"/>
        <v>0</v>
      </c>
      <c r="BC77" s="31">
        <f t="shared" si="27"/>
        <v>0</v>
      </c>
      <c r="BD77" s="31">
        <f t="shared" si="28"/>
        <v>0</v>
      </c>
      <c r="BE77" s="31">
        <f t="shared" si="29"/>
        <v>0</v>
      </c>
      <c r="BF77" s="31">
        <f t="shared" si="30"/>
        <v>0</v>
      </c>
      <c r="BG77" s="31">
        <f t="shared" si="31"/>
        <v>0</v>
      </c>
      <c r="BH77" s="31">
        <f t="shared" si="32"/>
        <v>0</v>
      </c>
    </row>
    <row r="78" spans="1:60" s="319" customFormat="1" ht="264" customHeight="1" x14ac:dyDescent="0.2">
      <c r="A78" s="155" t="s">
        <v>317</v>
      </c>
      <c r="B78" s="185" t="s">
        <v>852</v>
      </c>
      <c r="C78" s="186" t="s">
        <v>853</v>
      </c>
      <c r="D78" s="20"/>
      <c r="E78" s="20" t="s">
        <v>854</v>
      </c>
      <c r="F78" s="187" t="s">
        <v>855</v>
      </c>
      <c r="G78" s="37" t="s">
        <v>856</v>
      </c>
      <c r="H78" s="37" t="s">
        <v>857</v>
      </c>
      <c r="I78" s="188" t="s">
        <v>47</v>
      </c>
      <c r="J78" s="188" t="s">
        <v>858</v>
      </c>
      <c r="K78" s="188" t="s">
        <v>859</v>
      </c>
      <c r="L78" s="188" t="s">
        <v>156</v>
      </c>
      <c r="M78" s="24" t="s">
        <v>51</v>
      </c>
      <c r="N78" s="24" t="s">
        <v>51</v>
      </c>
      <c r="O78" s="189">
        <v>603.75</v>
      </c>
      <c r="P78" s="190" t="s">
        <v>860</v>
      </c>
      <c r="Q78" s="191">
        <v>604.02</v>
      </c>
      <c r="R78" s="190" t="s">
        <v>861</v>
      </c>
      <c r="S78" s="191">
        <v>596.48</v>
      </c>
      <c r="T78" s="190" t="s">
        <v>862</v>
      </c>
      <c r="U78" s="189">
        <v>649.26</v>
      </c>
      <c r="V78" s="190" t="s">
        <v>863</v>
      </c>
      <c r="W78" s="189">
        <v>819.21</v>
      </c>
      <c r="X78" s="190" t="s">
        <v>864</v>
      </c>
      <c r="Y78" s="189">
        <v>917.62</v>
      </c>
      <c r="Z78" s="190" t="s">
        <v>865</v>
      </c>
      <c r="AA78" s="192">
        <v>699.98</v>
      </c>
      <c r="AB78" s="190" t="s">
        <v>866</v>
      </c>
      <c r="AC78" s="192">
        <v>1128.23</v>
      </c>
      <c r="AD78" s="190" t="s">
        <v>867</v>
      </c>
      <c r="AE78" s="192">
        <v>881.14</v>
      </c>
      <c r="AF78" s="190" t="s">
        <v>868</v>
      </c>
      <c r="AG78" s="188">
        <v>671.86</v>
      </c>
      <c r="AH78" s="190" t="s">
        <v>1179</v>
      </c>
      <c r="AI78" s="188">
        <v>925.21</v>
      </c>
      <c r="AJ78" s="190" t="s">
        <v>1180</v>
      </c>
      <c r="AK78" s="188">
        <v>1108.82</v>
      </c>
      <c r="AL78" s="190" t="s">
        <v>1181</v>
      </c>
      <c r="AM78" s="24" t="s">
        <v>259</v>
      </c>
      <c r="AN78" s="38" t="s">
        <v>869</v>
      </c>
      <c r="AO78" s="255"/>
      <c r="AP78" s="255"/>
      <c r="AQ78" s="269"/>
      <c r="AR78" s="267" t="s">
        <v>1153</v>
      </c>
      <c r="AS78" s="340" t="str">
        <f>IF($AK78&gt;=25%,"RESULTADOS FAVORABLES",IF($AK78&lt;12.5%,"ACCIÓN CORRECTIVA",IF($AK78&lt;24%,"OPORTUNIDAD DE MEJORA")))</f>
        <v>RESULTADOS FAVORABLES</v>
      </c>
      <c r="AT78" s="30">
        <f t="shared" si="20"/>
        <v>800.4649999999998</v>
      </c>
      <c r="AU78" s="30">
        <f t="shared" si="19"/>
        <v>818.34818181818184</v>
      </c>
      <c r="AV78" s="181"/>
      <c r="AW78" s="31">
        <f t="shared" si="21"/>
        <v>603.75</v>
      </c>
      <c r="AX78" s="31">
        <f t="shared" si="22"/>
        <v>604.02</v>
      </c>
      <c r="AY78" s="31">
        <f t="shared" si="23"/>
        <v>596.48</v>
      </c>
      <c r="AZ78" s="31">
        <f t="shared" si="24"/>
        <v>649.26</v>
      </c>
      <c r="BA78" s="31">
        <f t="shared" si="25"/>
        <v>819.21</v>
      </c>
      <c r="BB78" s="31">
        <f t="shared" si="26"/>
        <v>917.62</v>
      </c>
      <c r="BC78" s="31">
        <f t="shared" si="27"/>
        <v>699.98</v>
      </c>
      <c r="BD78" s="31">
        <f t="shared" si="28"/>
        <v>1128.23</v>
      </c>
      <c r="BE78" s="31">
        <f t="shared" si="29"/>
        <v>881.14</v>
      </c>
      <c r="BF78" s="31">
        <f t="shared" si="30"/>
        <v>671.86</v>
      </c>
      <c r="BG78" s="31">
        <f t="shared" si="31"/>
        <v>925.21</v>
      </c>
      <c r="BH78" s="31">
        <f t="shared" si="32"/>
        <v>1108.82</v>
      </c>
    </row>
    <row r="79" spans="1:60" s="319" customFormat="1" ht="240" x14ac:dyDescent="0.2">
      <c r="A79" s="155" t="s">
        <v>317</v>
      </c>
      <c r="B79" s="185"/>
      <c r="C79" s="186" t="s">
        <v>853</v>
      </c>
      <c r="D79" s="20"/>
      <c r="E79" s="20" t="s">
        <v>854</v>
      </c>
      <c r="F79" s="187" t="s">
        <v>870</v>
      </c>
      <c r="G79" s="37" t="s">
        <v>871</v>
      </c>
      <c r="H79" s="37" t="s">
        <v>872</v>
      </c>
      <c r="I79" s="188" t="s">
        <v>47</v>
      </c>
      <c r="J79" s="188" t="s">
        <v>873</v>
      </c>
      <c r="K79" s="188" t="s">
        <v>859</v>
      </c>
      <c r="L79" s="188" t="s">
        <v>156</v>
      </c>
      <c r="M79" s="24" t="s">
        <v>51</v>
      </c>
      <c r="N79" s="24" t="s">
        <v>51</v>
      </c>
      <c r="O79" s="189">
        <v>76.25</v>
      </c>
      <c r="P79" s="190" t="s">
        <v>874</v>
      </c>
      <c r="Q79" s="189">
        <v>63.83</v>
      </c>
      <c r="R79" s="190" t="s">
        <v>875</v>
      </c>
      <c r="S79" s="189">
        <v>62.27</v>
      </c>
      <c r="T79" s="190" t="s">
        <v>876</v>
      </c>
      <c r="U79" s="189">
        <v>49.02</v>
      </c>
      <c r="V79" s="190" t="s">
        <v>877</v>
      </c>
      <c r="W79" s="189">
        <v>53.13</v>
      </c>
      <c r="X79" s="190" t="s">
        <v>878</v>
      </c>
      <c r="Y79" s="189">
        <v>67.680000000000007</v>
      </c>
      <c r="Z79" s="190" t="s">
        <v>879</v>
      </c>
      <c r="AA79" s="192">
        <v>56.12</v>
      </c>
      <c r="AB79" s="190" t="s">
        <v>880</v>
      </c>
      <c r="AC79" s="192">
        <v>64.08</v>
      </c>
      <c r="AD79" s="190" t="s">
        <v>881</v>
      </c>
      <c r="AE79" s="192">
        <v>50.68</v>
      </c>
      <c r="AF79" s="190" t="s">
        <v>882</v>
      </c>
      <c r="AG79" s="188">
        <v>69.52</v>
      </c>
      <c r="AH79" s="190" t="s">
        <v>1182</v>
      </c>
      <c r="AI79" s="188">
        <v>49.15</v>
      </c>
      <c r="AJ79" s="190" t="s">
        <v>1183</v>
      </c>
      <c r="AK79" s="188">
        <v>38.24</v>
      </c>
      <c r="AL79" s="190" t="s">
        <v>1184</v>
      </c>
      <c r="AM79" s="24" t="s">
        <v>259</v>
      </c>
      <c r="AN79" s="38" t="s">
        <v>869</v>
      </c>
      <c r="AO79" s="255"/>
      <c r="AP79" s="255"/>
      <c r="AQ79" s="269"/>
      <c r="AR79" s="267" t="s">
        <v>1153</v>
      </c>
      <c r="AS79" s="340" t="str">
        <f>IF($AK79&gt;=25%,"RESULTADOS FAVORABLES",IF($AK79&lt;12.5%,"ACCIÓN CORRECTIVA",IF($AK79&lt;24%,"OPORTUNIDAD DE MEJORA")))</f>
        <v>RESULTADOS FAVORABLES</v>
      </c>
      <c r="AT79" s="30">
        <f t="shared" si="20"/>
        <v>58.330833333333324</v>
      </c>
      <c r="AU79" s="30">
        <f t="shared" si="19"/>
        <v>56.701818181818183</v>
      </c>
      <c r="AV79" s="181"/>
      <c r="AW79" s="31">
        <f t="shared" si="21"/>
        <v>76.25</v>
      </c>
      <c r="AX79" s="31">
        <f t="shared" si="22"/>
        <v>63.83</v>
      </c>
      <c r="AY79" s="31">
        <f t="shared" si="23"/>
        <v>62.27</v>
      </c>
      <c r="AZ79" s="31">
        <f t="shared" si="24"/>
        <v>49.02</v>
      </c>
      <c r="BA79" s="31">
        <f t="shared" si="25"/>
        <v>53.13</v>
      </c>
      <c r="BB79" s="31">
        <f t="shared" si="26"/>
        <v>67.680000000000007</v>
      </c>
      <c r="BC79" s="31">
        <f t="shared" si="27"/>
        <v>56.12</v>
      </c>
      <c r="BD79" s="31">
        <f t="shared" si="28"/>
        <v>64.08</v>
      </c>
      <c r="BE79" s="31">
        <f t="shared" si="29"/>
        <v>50.68</v>
      </c>
      <c r="BF79" s="31">
        <f t="shared" si="30"/>
        <v>69.52</v>
      </c>
      <c r="BG79" s="31">
        <f t="shared" si="31"/>
        <v>49.15</v>
      </c>
      <c r="BH79" s="31">
        <f t="shared" si="32"/>
        <v>38.24</v>
      </c>
    </row>
    <row r="80" spans="1:60" ht="114" customHeight="1" x14ac:dyDescent="0.2">
      <c r="A80" s="194" t="s">
        <v>317</v>
      </c>
      <c r="B80" s="65" t="s">
        <v>883</v>
      </c>
      <c r="C80" s="195" t="s">
        <v>884</v>
      </c>
      <c r="D80" s="67" t="s">
        <v>885</v>
      </c>
      <c r="E80" s="67" t="s">
        <v>886</v>
      </c>
      <c r="F80" s="69" t="s">
        <v>887</v>
      </c>
      <c r="G80" s="289" t="s">
        <v>888</v>
      </c>
      <c r="H80" s="289" t="s">
        <v>46</v>
      </c>
      <c r="I80" s="70" t="s">
        <v>47</v>
      </c>
      <c r="J80" s="70" t="s">
        <v>889</v>
      </c>
      <c r="K80" s="196"/>
      <c r="L80" s="143" t="s">
        <v>1288</v>
      </c>
      <c r="M80" s="24" t="s">
        <v>51</v>
      </c>
      <c r="N80" s="24" t="s">
        <v>51</v>
      </c>
      <c r="O80" s="197">
        <f>+'[2]INDICADORES CECO'!$E$9</f>
        <v>5.4651780477022203E-2</v>
      </c>
      <c r="P80" s="198"/>
      <c r="Q80" s="199">
        <f>+'[2]INDICADORES CECO'!$G$9</f>
        <v>2.6352882954355838E-2</v>
      </c>
      <c r="R80" s="198"/>
      <c r="S80" s="199">
        <f>+'[2]INDICADORES CECO'!$I$9</f>
        <v>3.1282443312204478E-2</v>
      </c>
      <c r="T80" s="198"/>
      <c r="U80" s="199">
        <f>+'[3]INDICADORES CECO 2DO TRIM'!$D$28</f>
        <v>3.7078725449692165E-2</v>
      </c>
      <c r="V80" s="198" t="s">
        <v>890</v>
      </c>
      <c r="W80" s="199">
        <f>+'[3]INDICADORES CECO 2DO TRIM'!$F$28</f>
        <v>2.4506304681524326E-2</v>
      </c>
      <c r="X80" s="198" t="s">
        <v>891</v>
      </c>
      <c r="Y80" s="199">
        <f>+'[3]INDICADORES CECO 2DO TRIM'!$H$28</f>
        <v>5.9672805163798314E-3</v>
      </c>
      <c r="Z80" s="198" t="s">
        <v>892</v>
      </c>
      <c r="AA80" s="198"/>
      <c r="AB80" s="198"/>
      <c r="AC80" s="198"/>
      <c r="AD80" s="198"/>
      <c r="AE80" s="198"/>
      <c r="AF80" s="198"/>
      <c r="AG80" s="198"/>
      <c r="AH80" s="198"/>
      <c r="AI80" s="198"/>
      <c r="AJ80" s="198"/>
      <c r="AK80" s="198"/>
      <c r="AL80" s="198"/>
      <c r="AM80" s="24" t="s">
        <v>75</v>
      </c>
      <c r="AN80" s="24" t="s">
        <v>58</v>
      </c>
      <c r="AO80" s="258"/>
      <c r="AP80" s="258"/>
      <c r="AQ80" s="258"/>
      <c r="AR80" s="253" t="s">
        <v>1235</v>
      </c>
      <c r="AS80" s="340" t="str">
        <f t="shared" si="33"/>
        <v>ACCIÓN CORRECTIVA</v>
      </c>
      <c r="AT80" s="30">
        <f t="shared" si="20"/>
        <v>2.997323623186314E-2</v>
      </c>
      <c r="AU80" s="30">
        <f t="shared" si="19"/>
        <v>2.5037527382831326E-2</v>
      </c>
      <c r="AV80" s="1"/>
      <c r="AW80" s="31">
        <f t="shared" si="21"/>
        <v>5.4651780477022203E-2</v>
      </c>
      <c r="AX80" s="31">
        <f t="shared" si="22"/>
        <v>2.6352882954355838E-2</v>
      </c>
      <c r="AY80" s="31">
        <f t="shared" si="23"/>
        <v>3.1282443312204478E-2</v>
      </c>
      <c r="AZ80" s="31">
        <f t="shared" si="24"/>
        <v>3.7078725449692165E-2</v>
      </c>
      <c r="BA80" s="31">
        <f t="shared" si="25"/>
        <v>2.4506304681524326E-2</v>
      </c>
      <c r="BB80" s="31">
        <f t="shared" si="26"/>
        <v>5.9672805163798314E-3</v>
      </c>
      <c r="BC80" s="31">
        <f t="shared" si="27"/>
        <v>0</v>
      </c>
      <c r="BD80" s="31">
        <f t="shared" si="28"/>
        <v>0</v>
      </c>
      <c r="BE80" s="31">
        <f t="shared" si="29"/>
        <v>0</v>
      </c>
      <c r="BF80" s="31">
        <f t="shared" si="30"/>
        <v>0</v>
      </c>
      <c r="BG80" s="31">
        <f t="shared" si="31"/>
        <v>0</v>
      </c>
      <c r="BH80" s="31">
        <f t="shared" si="32"/>
        <v>0</v>
      </c>
    </row>
    <row r="81" spans="1:60" ht="195" x14ac:dyDescent="0.2">
      <c r="A81" s="78" t="s">
        <v>317</v>
      </c>
      <c r="B81" s="200"/>
      <c r="C81" s="201" t="s">
        <v>884</v>
      </c>
      <c r="D81" s="100"/>
      <c r="E81" s="20" t="s">
        <v>886</v>
      </c>
      <c r="F81" s="73" t="s">
        <v>893</v>
      </c>
      <c r="G81" s="20" t="s">
        <v>894</v>
      </c>
      <c r="H81" s="190" t="s">
        <v>895</v>
      </c>
      <c r="I81" s="70" t="s">
        <v>62</v>
      </c>
      <c r="J81" s="143" t="s">
        <v>896</v>
      </c>
      <c r="K81" s="143" t="s">
        <v>509</v>
      </c>
      <c r="L81" s="143" t="s">
        <v>1288</v>
      </c>
      <c r="M81" s="24" t="s">
        <v>265</v>
      </c>
      <c r="N81" s="24" t="s">
        <v>265</v>
      </c>
      <c r="O81" s="151">
        <v>0</v>
      </c>
      <c r="P81" s="146"/>
      <c r="Q81" s="71">
        <v>0</v>
      </c>
      <c r="R81" s="146"/>
      <c r="S81" s="71">
        <v>0</v>
      </c>
      <c r="T81" s="146"/>
      <c r="U81" s="40">
        <v>0</v>
      </c>
      <c r="V81" s="153"/>
      <c r="W81" s="40">
        <v>0</v>
      </c>
      <c r="X81" s="153"/>
      <c r="Y81" s="40">
        <v>0</v>
      </c>
      <c r="Z81" s="153"/>
      <c r="AA81" s="153"/>
      <c r="AB81" s="153"/>
      <c r="AC81" s="153"/>
      <c r="AD81" s="153"/>
      <c r="AE81" s="153"/>
      <c r="AF81" s="153"/>
      <c r="AG81" s="153"/>
      <c r="AH81" s="153"/>
      <c r="AI81" s="153"/>
      <c r="AJ81" s="202"/>
      <c r="AK81" s="144">
        <f>524/524</f>
        <v>1</v>
      </c>
      <c r="AL81" s="29" t="s">
        <v>1289</v>
      </c>
      <c r="AM81" s="144">
        <v>0</v>
      </c>
      <c r="AN81" s="142" t="s">
        <v>897</v>
      </c>
      <c r="AO81" s="260"/>
      <c r="AP81" s="255"/>
      <c r="AQ81" s="269"/>
      <c r="AR81" s="267" t="s">
        <v>1153</v>
      </c>
      <c r="AS81" s="340" t="str">
        <f>IF($AK81&gt;=100%,"RESULTADOS FAVORABLES",IF($AK81&lt;75%,"ACCIÓN CORRECTIVA",IF($AK81&lt;85%,"OPORTUNIDAD DE MEJORA")))</f>
        <v>RESULTADOS FAVORABLES</v>
      </c>
      <c r="AT81" s="30">
        <f t="shared" si="20"/>
        <v>0.14285714285714285</v>
      </c>
      <c r="AU81" s="30">
        <f t="shared" si="19"/>
        <v>1</v>
      </c>
      <c r="AV81" s="1"/>
      <c r="AW81" s="31">
        <f t="shared" si="21"/>
        <v>0</v>
      </c>
      <c r="AX81" s="31">
        <f t="shared" si="22"/>
        <v>0</v>
      </c>
      <c r="AY81" s="31">
        <f t="shared" si="23"/>
        <v>0</v>
      </c>
      <c r="AZ81" s="31">
        <f t="shared" si="24"/>
        <v>0</v>
      </c>
      <c r="BA81" s="31">
        <f t="shared" si="25"/>
        <v>0</v>
      </c>
      <c r="BB81" s="31">
        <f t="shared" si="26"/>
        <v>0</v>
      </c>
      <c r="BC81" s="31">
        <f t="shared" si="27"/>
        <v>0</v>
      </c>
      <c r="BD81" s="31">
        <f t="shared" si="28"/>
        <v>0</v>
      </c>
      <c r="BE81" s="31">
        <f t="shared" si="29"/>
        <v>0</v>
      </c>
      <c r="BF81" s="31">
        <f t="shared" si="30"/>
        <v>0</v>
      </c>
      <c r="BG81" s="31">
        <f t="shared" si="31"/>
        <v>0</v>
      </c>
      <c r="BH81" s="31">
        <f t="shared" si="32"/>
        <v>1</v>
      </c>
    </row>
    <row r="82" spans="1:60" ht="195" x14ac:dyDescent="0.2">
      <c r="A82" s="78" t="s">
        <v>317</v>
      </c>
      <c r="B82" s="200"/>
      <c r="C82" s="201" t="s">
        <v>884</v>
      </c>
      <c r="D82" s="203"/>
      <c r="E82" s="20" t="s">
        <v>886</v>
      </c>
      <c r="F82" s="73" t="s">
        <v>898</v>
      </c>
      <c r="G82" s="20" t="s">
        <v>894</v>
      </c>
      <c r="H82" s="190" t="s">
        <v>899</v>
      </c>
      <c r="I82" s="70" t="s">
        <v>62</v>
      </c>
      <c r="J82" s="143" t="s">
        <v>896</v>
      </c>
      <c r="K82" s="143" t="s">
        <v>509</v>
      </c>
      <c r="L82" s="143" t="s">
        <v>1288</v>
      </c>
      <c r="M82" s="24" t="s">
        <v>265</v>
      </c>
      <c r="N82" s="24" t="s">
        <v>265</v>
      </c>
      <c r="O82" s="151">
        <v>0</v>
      </c>
      <c r="P82" s="146"/>
      <c r="Q82" s="151">
        <v>0</v>
      </c>
      <c r="R82" s="146"/>
      <c r="S82" s="151">
        <v>0</v>
      </c>
      <c r="T82" s="146"/>
      <c r="U82" s="151">
        <v>0</v>
      </c>
      <c r="V82" s="153"/>
      <c r="W82" s="151">
        <v>0</v>
      </c>
      <c r="X82" s="153"/>
      <c r="Y82" s="151">
        <v>0</v>
      </c>
      <c r="Z82" s="153"/>
      <c r="AA82" s="153"/>
      <c r="AB82" s="153"/>
      <c r="AC82" s="153"/>
      <c r="AD82" s="153"/>
      <c r="AE82" s="153"/>
      <c r="AF82" s="153"/>
      <c r="AG82" s="153"/>
      <c r="AH82" s="153"/>
      <c r="AI82" s="153"/>
      <c r="AJ82" s="202"/>
      <c r="AK82" s="144">
        <f>524/524</f>
        <v>1</v>
      </c>
      <c r="AL82" s="29" t="s">
        <v>1289</v>
      </c>
      <c r="AM82" s="144">
        <v>0.04</v>
      </c>
      <c r="AN82" s="142" t="s">
        <v>897</v>
      </c>
      <c r="AO82" s="260"/>
      <c r="AP82" s="255"/>
      <c r="AQ82" s="269"/>
      <c r="AR82" s="267" t="s">
        <v>1153</v>
      </c>
      <c r="AS82" s="340" t="str">
        <f>IF($AK82&gt;=100%,"RESULTADOS FAVORABLES",IF($AK82&lt;75%,"ACCIÓN CORRECTIVA",IF($AK82&lt;85%,"OPORTUNIDAD DE MEJORA")))</f>
        <v>RESULTADOS FAVORABLES</v>
      </c>
      <c r="AT82" s="30">
        <f t="shared" si="20"/>
        <v>0.14285714285714285</v>
      </c>
      <c r="AU82" s="30">
        <f t="shared" si="19"/>
        <v>1</v>
      </c>
      <c r="AV82" s="1"/>
      <c r="AW82" s="31">
        <f t="shared" si="21"/>
        <v>0</v>
      </c>
      <c r="AX82" s="31">
        <f t="shared" si="22"/>
        <v>0</v>
      </c>
      <c r="AY82" s="31">
        <f t="shared" si="23"/>
        <v>0</v>
      </c>
      <c r="AZ82" s="31">
        <f t="shared" si="24"/>
        <v>0</v>
      </c>
      <c r="BA82" s="31">
        <f t="shared" si="25"/>
        <v>0</v>
      </c>
      <c r="BB82" s="31">
        <f t="shared" si="26"/>
        <v>0</v>
      </c>
      <c r="BC82" s="31">
        <f t="shared" si="27"/>
        <v>0</v>
      </c>
      <c r="BD82" s="31">
        <f t="shared" si="28"/>
        <v>0</v>
      </c>
      <c r="BE82" s="31">
        <f t="shared" si="29"/>
        <v>0</v>
      </c>
      <c r="BF82" s="31">
        <f t="shared" si="30"/>
        <v>0</v>
      </c>
      <c r="BG82" s="31">
        <f t="shared" si="31"/>
        <v>0</v>
      </c>
      <c r="BH82" s="31">
        <f t="shared" si="32"/>
        <v>1</v>
      </c>
    </row>
    <row r="83" spans="1:60" ht="138" customHeight="1" x14ac:dyDescent="0.2">
      <c r="A83" s="78" t="s">
        <v>317</v>
      </c>
      <c r="B83" s="200"/>
      <c r="C83" s="201" t="s">
        <v>884</v>
      </c>
      <c r="D83" s="203"/>
      <c r="E83" s="20" t="s">
        <v>886</v>
      </c>
      <c r="F83" s="73" t="s">
        <v>1284</v>
      </c>
      <c r="G83" s="20" t="s">
        <v>1285</v>
      </c>
      <c r="H83" s="190" t="s">
        <v>1286</v>
      </c>
      <c r="I83" s="70" t="s">
        <v>62</v>
      </c>
      <c r="J83" s="143" t="s">
        <v>1287</v>
      </c>
      <c r="K83" s="143" t="s">
        <v>509</v>
      </c>
      <c r="L83" s="143" t="s">
        <v>1288</v>
      </c>
      <c r="M83" s="24" t="s">
        <v>51</v>
      </c>
      <c r="N83" s="24" t="s">
        <v>51</v>
      </c>
      <c r="O83" s="151"/>
      <c r="P83" s="146"/>
      <c r="Q83" s="151"/>
      <c r="R83" s="146"/>
      <c r="S83" s="151"/>
      <c r="T83" s="146"/>
      <c r="U83" s="151"/>
      <c r="V83" s="153"/>
      <c r="W83" s="151"/>
      <c r="X83" s="153"/>
      <c r="Y83" s="151"/>
      <c r="Z83" s="153"/>
      <c r="AA83" s="153"/>
      <c r="AB83" s="153"/>
      <c r="AC83" s="153"/>
      <c r="AD83" s="153"/>
      <c r="AE83" s="153"/>
      <c r="AF83" s="153"/>
      <c r="AG83" s="153"/>
      <c r="AH83" s="153"/>
      <c r="AI83" s="153"/>
      <c r="AJ83" s="202"/>
      <c r="AK83" s="144">
        <f>522/524</f>
        <v>0.99618320610687028</v>
      </c>
      <c r="AL83" s="29" t="s">
        <v>1290</v>
      </c>
      <c r="AM83" s="144"/>
      <c r="AN83" s="142"/>
      <c r="AO83" s="260"/>
      <c r="AP83" s="255"/>
      <c r="AQ83" s="269"/>
      <c r="AR83" s="267" t="s">
        <v>1153</v>
      </c>
      <c r="AS83" s="340" t="str">
        <f>IF($AK83&gt;=90%,"RESULTADOS FAVORABLES",IF($AK83&lt;75%,"ACCIÓN CORRECTIVA",IF($AK83&lt;85%,"OPORTUNIDAD DE MEJORA")))</f>
        <v>RESULTADOS FAVORABLES</v>
      </c>
      <c r="AT83" s="30"/>
      <c r="AU83" s="30"/>
      <c r="AV83" s="1"/>
      <c r="AW83" s="31"/>
      <c r="AX83" s="31"/>
      <c r="AY83" s="31"/>
      <c r="AZ83" s="31"/>
      <c r="BA83" s="31"/>
      <c r="BB83" s="31"/>
      <c r="BC83" s="31"/>
      <c r="BD83" s="31"/>
      <c r="BE83" s="31"/>
      <c r="BF83" s="31"/>
      <c r="BG83" s="31"/>
      <c r="BH83" s="31"/>
    </row>
    <row r="84" spans="1:60" ht="270" x14ac:dyDescent="0.2">
      <c r="A84" s="78" t="s">
        <v>317</v>
      </c>
      <c r="B84" s="45" t="s">
        <v>900</v>
      </c>
      <c r="C84" s="186" t="s">
        <v>901</v>
      </c>
      <c r="D84" s="20"/>
      <c r="E84" s="20" t="s">
        <v>902</v>
      </c>
      <c r="F84" s="187" t="s">
        <v>903</v>
      </c>
      <c r="G84" s="37" t="s">
        <v>904</v>
      </c>
      <c r="H84" s="204" t="s">
        <v>905</v>
      </c>
      <c r="I84" s="188" t="s">
        <v>47</v>
      </c>
      <c r="J84" s="188" t="s">
        <v>906</v>
      </c>
      <c r="K84" s="188" t="s">
        <v>907</v>
      </c>
      <c r="L84" s="188" t="s">
        <v>156</v>
      </c>
      <c r="M84" s="24" t="s">
        <v>51</v>
      </c>
      <c r="N84" s="24" t="s">
        <v>51</v>
      </c>
      <c r="O84" s="188">
        <v>81</v>
      </c>
      <c r="P84" s="190" t="s">
        <v>908</v>
      </c>
      <c r="Q84" s="188">
        <v>1304</v>
      </c>
      <c r="R84" s="190" t="s">
        <v>909</v>
      </c>
      <c r="S84" s="188">
        <v>1467</v>
      </c>
      <c r="T84" s="190" t="s">
        <v>910</v>
      </c>
      <c r="U84" s="188">
        <f>3037-445</f>
        <v>2592</v>
      </c>
      <c r="V84" s="205" t="s">
        <v>911</v>
      </c>
      <c r="W84" s="188">
        <f>2706-680</f>
        <v>2026</v>
      </c>
      <c r="X84" s="205" t="s">
        <v>912</v>
      </c>
      <c r="Y84" s="188">
        <f>2177-1053</f>
        <v>1124</v>
      </c>
      <c r="Z84" s="205" t="s">
        <v>913</v>
      </c>
      <c r="AA84" s="206">
        <v>-622</v>
      </c>
      <c r="AB84" s="205" t="s">
        <v>914</v>
      </c>
      <c r="AC84" s="206">
        <v>-6</v>
      </c>
      <c r="AD84" s="205" t="s">
        <v>915</v>
      </c>
      <c r="AE84" s="206">
        <v>-103</v>
      </c>
      <c r="AF84" s="205" t="s">
        <v>916</v>
      </c>
      <c r="AG84" s="347">
        <f>1831-1659</f>
        <v>172</v>
      </c>
      <c r="AH84" s="348" t="s">
        <v>1292</v>
      </c>
      <c r="AI84" s="347">
        <f>2868-1709</f>
        <v>1159</v>
      </c>
      <c r="AJ84" s="348" t="s">
        <v>1293</v>
      </c>
      <c r="AK84" s="347">
        <f>2105-1906</f>
        <v>199</v>
      </c>
      <c r="AL84" s="348" t="s">
        <v>1294</v>
      </c>
      <c r="AM84" s="211" t="s">
        <v>259</v>
      </c>
      <c r="AN84" s="188" t="s">
        <v>1304</v>
      </c>
      <c r="AO84" s="349"/>
      <c r="AP84" s="257"/>
      <c r="AQ84" s="257"/>
      <c r="AR84" s="338" t="s">
        <v>1356</v>
      </c>
      <c r="AS84" s="340" t="str">
        <f>IF('INFORMACIÓN ADICIONAL'!D16&lt;='INFORMACIÓN ADICIONAL'!E16,"RESULTADOS FAVORABLES",IF('INFORMACIÓN ADICIONAL'!D16&gt;'INFORMACIÓN ADICIONAL'!E16,"ACCIÓN CORRECTIVA",IF('INFORMACIÓN ADICIONAL'!D16&gt;='INFORMACIÓN ADICIONAL'!E16,"OPORTUNIDAD DE MEJORA")))</f>
        <v>ACCIÓN CORRECTIVA</v>
      </c>
      <c r="AT84" s="30">
        <f t="shared" si="20"/>
        <v>782.75</v>
      </c>
      <c r="AU84" s="30">
        <f t="shared" si="19"/>
        <v>1255.375</v>
      </c>
      <c r="AV84" s="1"/>
      <c r="AW84" s="31">
        <f t="shared" si="21"/>
        <v>81</v>
      </c>
      <c r="AX84" s="31">
        <f t="shared" si="22"/>
        <v>1304</v>
      </c>
      <c r="AY84" s="31">
        <f t="shared" si="23"/>
        <v>1467</v>
      </c>
      <c r="AZ84" s="31">
        <f t="shared" si="24"/>
        <v>2592</v>
      </c>
      <c r="BA84" s="31">
        <f t="shared" si="25"/>
        <v>2026</v>
      </c>
      <c r="BB84" s="31">
        <f t="shared" si="26"/>
        <v>1124</v>
      </c>
      <c r="BC84" s="31">
        <f t="shared" si="27"/>
        <v>-622</v>
      </c>
      <c r="BD84" s="31">
        <f t="shared" si="28"/>
        <v>-6</v>
      </c>
      <c r="BE84" s="31">
        <f t="shared" si="29"/>
        <v>-103</v>
      </c>
      <c r="BF84" s="31">
        <f t="shared" si="30"/>
        <v>172</v>
      </c>
      <c r="BG84" s="31">
        <f t="shared" si="31"/>
        <v>1159</v>
      </c>
      <c r="BH84" s="31">
        <f t="shared" si="32"/>
        <v>199</v>
      </c>
    </row>
    <row r="85" spans="1:60" ht="228.75" customHeight="1" x14ac:dyDescent="0.2">
      <c r="A85" s="78" t="s">
        <v>317</v>
      </c>
      <c r="B85" s="400"/>
      <c r="C85" s="186" t="s">
        <v>901</v>
      </c>
      <c r="D85" s="20"/>
      <c r="E85" s="20" t="s">
        <v>902</v>
      </c>
      <c r="F85" s="187" t="s">
        <v>917</v>
      </c>
      <c r="G85" s="37" t="s">
        <v>1291</v>
      </c>
      <c r="H85" s="204" t="s">
        <v>918</v>
      </c>
      <c r="I85" s="188" t="s">
        <v>47</v>
      </c>
      <c r="J85" s="188" t="s">
        <v>1316</v>
      </c>
      <c r="K85" s="188" t="s">
        <v>310</v>
      </c>
      <c r="L85" s="188" t="s">
        <v>156</v>
      </c>
      <c r="M85" s="24" t="s">
        <v>51</v>
      </c>
      <c r="N85" s="24" t="s">
        <v>51</v>
      </c>
      <c r="O85" s="188">
        <v>0.01</v>
      </c>
      <c r="P85" s="190" t="s">
        <v>919</v>
      </c>
      <c r="Q85" s="188">
        <v>1.7999999999999999E-2</v>
      </c>
      <c r="R85" s="190" t="s">
        <v>920</v>
      </c>
      <c r="S85" s="188">
        <v>3.3000000000000002E-2</v>
      </c>
      <c r="T85" s="190" t="s">
        <v>921</v>
      </c>
      <c r="U85" s="207">
        <f>97850/2421090</f>
        <v>4.0415680540582963E-2</v>
      </c>
      <c r="V85" s="156" t="s">
        <v>922</v>
      </c>
      <c r="W85" s="207">
        <f>84540/2114416</f>
        <v>3.9982671338090518E-2</v>
      </c>
      <c r="X85" s="156" t="s">
        <v>923</v>
      </c>
      <c r="Y85" s="207">
        <f>40830/977251</f>
        <v>4.1780463770310798E-2</v>
      </c>
      <c r="Z85" s="156" t="s">
        <v>924</v>
      </c>
      <c r="AA85" s="208">
        <v>5.1928590044305445E-2</v>
      </c>
      <c r="AB85" s="156" t="s">
        <v>925</v>
      </c>
      <c r="AC85" s="208">
        <v>5.7967699692819938E-2</v>
      </c>
      <c r="AD85" s="156" t="s">
        <v>926</v>
      </c>
      <c r="AE85" s="208">
        <v>5.0053128002096006E-2</v>
      </c>
      <c r="AF85" s="156" t="s">
        <v>927</v>
      </c>
      <c r="AG85" s="207">
        <f>21300/1658568</f>
        <v>1.2842403808586684E-2</v>
      </c>
      <c r="AH85" s="190" t="s">
        <v>1295</v>
      </c>
      <c r="AI85" s="207">
        <f>45120/2996682</f>
        <v>1.5056652657839571E-2</v>
      </c>
      <c r="AJ85" s="190" t="s">
        <v>1296</v>
      </c>
      <c r="AK85" s="207">
        <f>82040/1576962</f>
        <v>5.2024081747055417E-2</v>
      </c>
      <c r="AL85" s="190" t="s">
        <v>1297</v>
      </c>
      <c r="AM85" s="211" t="s">
        <v>259</v>
      </c>
      <c r="AN85" s="188" t="s">
        <v>1304</v>
      </c>
      <c r="AO85" s="356"/>
      <c r="AP85" s="257"/>
      <c r="AQ85" s="257"/>
      <c r="AR85" s="29" t="s">
        <v>1319</v>
      </c>
      <c r="AS85" s="340"/>
      <c r="AT85" s="30">
        <f t="shared" si="20"/>
        <v>3.5254280966807279E-2</v>
      </c>
      <c r="AU85" s="30">
        <f t="shared" si="19"/>
        <v>3.7550124691062489E-2</v>
      </c>
      <c r="AV85" s="1"/>
      <c r="AW85" s="31">
        <f t="shared" si="21"/>
        <v>0.01</v>
      </c>
      <c r="AX85" s="31">
        <f t="shared" si="22"/>
        <v>1.7999999999999999E-2</v>
      </c>
      <c r="AY85" s="31">
        <f t="shared" si="23"/>
        <v>3.3000000000000002E-2</v>
      </c>
      <c r="AZ85" s="31">
        <f t="shared" si="24"/>
        <v>4.0415680540582963E-2</v>
      </c>
      <c r="BA85" s="31">
        <f t="shared" si="25"/>
        <v>3.9982671338090518E-2</v>
      </c>
      <c r="BB85" s="31">
        <f t="shared" si="26"/>
        <v>4.1780463770310798E-2</v>
      </c>
      <c r="BC85" s="31">
        <f t="shared" si="27"/>
        <v>5.1928590044305445E-2</v>
      </c>
      <c r="BD85" s="31">
        <f t="shared" si="28"/>
        <v>5.7967699692819938E-2</v>
      </c>
      <c r="BE85" s="31">
        <f t="shared" si="29"/>
        <v>5.0053128002096006E-2</v>
      </c>
      <c r="BF85" s="31">
        <f t="shared" si="30"/>
        <v>1.2842403808586684E-2</v>
      </c>
      <c r="BG85" s="31">
        <f t="shared" si="31"/>
        <v>1.5056652657839571E-2</v>
      </c>
      <c r="BH85" s="31">
        <f t="shared" si="32"/>
        <v>5.2024081747055417E-2</v>
      </c>
    </row>
    <row r="86" spans="1:60" ht="283.5" customHeight="1" x14ac:dyDescent="0.2">
      <c r="A86" s="78" t="s">
        <v>317</v>
      </c>
      <c r="B86" s="401"/>
      <c r="C86" s="186" t="s">
        <v>901</v>
      </c>
      <c r="D86" s="20"/>
      <c r="E86" s="20" t="s">
        <v>902</v>
      </c>
      <c r="F86" s="187" t="s">
        <v>928</v>
      </c>
      <c r="G86" s="37" t="s">
        <v>929</v>
      </c>
      <c r="H86" s="204" t="s">
        <v>1322</v>
      </c>
      <c r="I86" s="188" t="s">
        <v>47</v>
      </c>
      <c r="J86" s="188" t="s">
        <v>1326</v>
      </c>
      <c r="K86" s="188" t="s">
        <v>930</v>
      </c>
      <c r="L86" s="188" t="s">
        <v>156</v>
      </c>
      <c r="M86" s="24" t="s">
        <v>51</v>
      </c>
      <c r="N86" s="24" t="s">
        <v>51</v>
      </c>
      <c r="O86" s="188">
        <v>-13309.1</v>
      </c>
      <c r="P86" s="190" t="s">
        <v>931</v>
      </c>
      <c r="Q86" s="188">
        <v>1486.9</v>
      </c>
      <c r="R86" s="190" t="s">
        <v>932</v>
      </c>
      <c r="S86" s="188">
        <v>1486.9</v>
      </c>
      <c r="T86" s="190" t="s">
        <v>933</v>
      </c>
      <c r="U86" s="188">
        <f>7904-1486.9</f>
        <v>6417.1</v>
      </c>
      <c r="V86" s="156" t="s">
        <v>934</v>
      </c>
      <c r="W86" s="188">
        <f>16135-7904</f>
        <v>8231</v>
      </c>
      <c r="X86" s="156" t="s">
        <v>935</v>
      </c>
      <c r="Y86" s="188">
        <f>3140-16135</f>
        <v>-12995</v>
      </c>
      <c r="Z86" s="156" t="s">
        <v>936</v>
      </c>
      <c r="AA86" s="158">
        <v>889</v>
      </c>
      <c r="AB86" s="156" t="s">
        <v>937</v>
      </c>
      <c r="AC86" s="158">
        <v>828</v>
      </c>
      <c r="AD86" s="156" t="s">
        <v>938</v>
      </c>
      <c r="AE86" s="158">
        <v>493</v>
      </c>
      <c r="AF86" s="156" t="s">
        <v>939</v>
      </c>
      <c r="AG86" s="188">
        <f>4314-6371</f>
        <v>-2057</v>
      </c>
      <c r="AH86" s="127" t="s">
        <v>1298</v>
      </c>
      <c r="AI86" s="188">
        <f>4386-4314</f>
        <v>72</v>
      </c>
      <c r="AJ86" s="127" t="s">
        <v>1299</v>
      </c>
      <c r="AK86" s="188">
        <f>5840-4386</f>
        <v>1454</v>
      </c>
      <c r="AL86" s="127" t="s">
        <v>1300</v>
      </c>
      <c r="AM86" s="211" t="s">
        <v>259</v>
      </c>
      <c r="AN86" s="188" t="s">
        <v>940</v>
      </c>
      <c r="AO86" s="257"/>
      <c r="AP86" s="257"/>
      <c r="AQ86" s="357"/>
      <c r="AR86" s="267" t="s">
        <v>1153</v>
      </c>
      <c r="AS86" s="340" t="str">
        <f>IF('INFORMACIÓN ADICIONAL'!P16&gt;='INFORMACIÓN ADICIONAL'!Q16,"RESULTADOS FAVORABLES",IF('INFORMACIÓN ADICIONAL'!P16&lt;'INFORMACIÓN ADICIONAL'!Q16,"ACCIÓN CORRECTIVA",IF('INFORMACIÓN ADICIONAL'!P16&lt;='INFORMACIÓN ADICIONAL'!Q16,"OPORTUNIDAD DE MEJORA")))</f>
        <v>RESULTADOS FAVORABLES</v>
      </c>
      <c r="AT86" s="30">
        <f t="shared" si="20"/>
        <v>-583.6</v>
      </c>
      <c r="AU86" s="30">
        <f t="shared" si="19"/>
        <v>2373.1000000000004</v>
      </c>
      <c r="AV86" s="1"/>
      <c r="AW86" s="31">
        <f t="shared" si="21"/>
        <v>-13309.1</v>
      </c>
      <c r="AX86" s="31">
        <f t="shared" si="22"/>
        <v>1486.9</v>
      </c>
      <c r="AY86" s="31">
        <f t="shared" si="23"/>
        <v>1486.9</v>
      </c>
      <c r="AZ86" s="31">
        <f t="shared" si="24"/>
        <v>6417.1</v>
      </c>
      <c r="BA86" s="31">
        <f t="shared" si="25"/>
        <v>8231</v>
      </c>
      <c r="BB86" s="31">
        <f t="shared" si="26"/>
        <v>-12995</v>
      </c>
      <c r="BC86" s="31">
        <f t="shared" si="27"/>
        <v>889</v>
      </c>
      <c r="BD86" s="31">
        <f t="shared" si="28"/>
        <v>828</v>
      </c>
      <c r="BE86" s="31">
        <f t="shared" si="29"/>
        <v>493</v>
      </c>
      <c r="BF86" s="31">
        <f t="shared" si="30"/>
        <v>-2057</v>
      </c>
      <c r="BG86" s="31">
        <f t="shared" si="31"/>
        <v>72</v>
      </c>
      <c r="BH86" s="31">
        <f t="shared" si="32"/>
        <v>1454</v>
      </c>
    </row>
    <row r="87" spans="1:60" ht="165" x14ac:dyDescent="0.2">
      <c r="A87" s="78" t="s">
        <v>317</v>
      </c>
      <c r="B87" s="401"/>
      <c r="C87" s="186" t="s">
        <v>901</v>
      </c>
      <c r="D87" s="20"/>
      <c r="E87" s="20" t="s">
        <v>902</v>
      </c>
      <c r="F87" s="187" t="s">
        <v>941</v>
      </c>
      <c r="G87" s="37" t="s">
        <v>942</v>
      </c>
      <c r="H87" s="204" t="s">
        <v>943</v>
      </c>
      <c r="I87" s="188" t="s">
        <v>47</v>
      </c>
      <c r="J87" s="188" t="s">
        <v>944</v>
      </c>
      <c r="K87" s="188" t="s">
        <v>930</v>
      </c>
      <c r="L87" s="188" t="s">
        <v>156</v>
      </c>
      <c r="M87" s="24" t="s">
        <v>51</v>
      </c>
      <c r="N87" s="24" t="s">
        <v>51</v>
      </c>
      <c r="O87" s="188">
        <v>-100.2</v>
      </c>
      <c r="P87" s="190" t="s">
        <v>945</v>
      </c>
      <c r="Q87" s="188">
        <v>141.80000000000001</v>
      </c>
      <c r="R87" s="190" t="s">
        <v>946</v>
      </c>
      <c r="S87" s="188">
        <v>-204.6</v>
      </c>
      <c r="T87" s="190" t="s">
        <v>947</v>
      </c>
      <c r="U87" s="188">
        <f>176.5-156</f>
        <v>20.5</v>
      </c>
      <c r="V87" s="156" t="s">
        <v>948</v>
      </c>
      <c r="W87" s="188">
        <f>213.3-176.5</f>
        <v>36.800000000000011</v>
      </c>
      <c r="X87" s="156" t="s">
        <v>949</v>
      </c>
      <c r="Y87" s="188">
        <f>141.2-213.3</f>
        <v>-72.100000000000023</v>
      </c>
      <c r="Z87" s="156" t="s">
        <v>950</v>
      </c>
      <c r="AA87" s="158">
        <v>-26.799999999999997</v>
      </c>
      <c r="AB87" s="156" t="s">
        <v>951</v>
      </c>
      <c r="AC87" s="158">
        <v>96.999999999999986</v>
      </c>
      <c r="AD87" s="156" t="s">
        <v>952</v>
      </c>
      <c r="AE87" s="158">
        <v>-93.499999999999986</v>
      </c>
      <c r="AF87" s="156" t="s">
        <v>953</v>
      </c>
      <c r="AG87" s="188">
        <f>140.3-104.2</f>
        <v>36.100000000000009</v>
      </c>
      <c r="AH87" s="127" t="s">
        <v>1301</v>
      </c>
      <c r="AI87" s="188">
        <f>79.8-140.3</f>
        <v>-60.500000000000014</v>
      </c>
      <c r="AJ87" s="127" t="s">
        <v>1302</v>
      </c>
      <c r="AK87" s="188">
        <f>12.2-79.8</f>
        <v>-67.599999999999994</v>
      </c>
      <c r="AL87" s="127" t="s">
        <v>1303</v>
      </c>
      <c r="AM87" s="211" t="s">
        <v>259</v>
      </c>
      <c r="AN87" s="188" t="s">
        <v>1304</v>
      </c>
      <c r="AO87" s="257"/>
      <c r="AP87" s="257"/>
      <c r="AQ87" s="357"/>
      <c r="AR87" s="267" t="s">
        <v>1153</v>
      </c>
      <c r="AS87" s="340" t="str">
        <f>IF('INFORMACIÓN ADICIONAL'!V16&lt;='INFORMACIÓN ADICIONAL'!W16,"RESULTADOS FAVORABLES",IF('INFORMACIÓN ADICIONAL'!V16&gt;='INFORMACIÓN ADICIONAL'!W16,"ACCIÓN CORRECTIVA",IF('INFORMACIÓN ADICIONAL'!V16&gt;'INFORMACIÓN ADICIONAL'!W16,"OPORTUNIDAD DE MEJORA")))</f>
        <v>RESULTADOS FAVORABLES</v>
      </c>
      <c r="AT87" s="30">
        <f t="shared" si="20"/>
        <v>-24.425000000000001</v>
      </c>
      <c r="AU87" s="30">
        <f t="shared" si="19"/>
        <v>66.440000000000012</v>
      </c>
      <c r="AV87" s="1"/>
      <c r="AW87" s="31">
        <f t="shared" si="21"/>
        <v>-100.2</v>
      </c>
      <c r="AX87" s="31">
        <f t="shared" si="22"/>
        <v>141.80000000000001</v>
      </c>
      <c r="AY87" s="31">
        <f t="shared" si="23"/>
        <v>-204.6</v>
      </c>
      <c r="AZ87" s="31">
        <f t="shared" si="24"/>
        <v>20.5</v>
      </c>
      <c r="BA87" s="31">
        <f t="shared" si="25"/>
        <v>36.800000000000011</v>
      </c>
      <c r="BB87" s="31">
        <f t="shared" si="26"/>
        <v>-72.100000000000023</v>
      </c>
      <c r="BC87" s="31">
        <f t="shared" si="27"/>
        <v>-26.799999999999997</v>
      </c>
      <c r="BD87" s="31">
        <f t="shared" si="28"/>
        <v>96.999999999999986</v>
      </c>
      <c r="BE87" s="31">
        <f t="shared" si="29"/>
        <v>-93.499999999999986</v>
      </c>
      <c r="BF87" s="31">
        <f t="shared" si="30"/>
        <v>36.100000000000009</v>
      </c>
      <c r="BG87" s="31">
        <f t="shared" si="31"/>
        <v>-60.500000000000014</v>
      </c>
      <c r="BH87" s="31">
        <f t="shared" si="32"/>
        <v>-67.599999999999994</v>
      </c>
    </row>
    <row r="88" spans="1:60" ht="149.25" customHeight="1" x14ac:dyDescent="0.2">
      <c r="A88" s="155" t="s">
        <v>954</v>
      </c>
      <c r="B88" s="45" t="s">
        <v>955</v>
      </c>
      <c r="C88" s="209" t="s">
        <v>956</v>
      </c>
      <c r="D88" s="20" t="s">
        <v>957</v>
      </c>
      <c r="E88" s="20" t="s">
        <v>958</v>
      </c>
      <c r="F88" s="187" t="s">
        <v>959</v>
      </c>
      <c r="G88" s="42" t="s">
        <v>960</v>
      </c>
      <c r="H88" s="42" t="s">
        <v>961</v>
      </c>
      <c r="I88" s="23" t="s">
        <v>47</v>
      </c>
      <c r="J88" s="188" t="s">
        <v>962</v>
      </c>
      <c r="K88" s="188" t="s">
        <v>509</v>
      </c>
      <c r="L88" s="188" t="s">
        <v>963</v>
      </c>
      <c r="M88" s="188" t="s">
        <v>51</v>
      </c>
      <c r="N88" s="188" t="s">
        <v>51</v>
      </c>
      <c r="O88" s="210">
        <f>+'[2]INDICADORES CECO'!$E$13</f>
        <v>3.133658323285049E-2</v>
      </c>
      <c r="P88" s="190" t="s">
        <v>964</v>
      </c>
      <c r="Q88" s="210">
        <f>+'[2]INDICADORES CECO'!$G$13</f>
        <v>2.1099331825784374E-2</v>
      </c>
      <c r="R88" s="190" t="s">
        <v>965</v>
      </c>
      <c r="S88" s="210">
        <f>+'[2]INDICADORES CECO'!$I$13</f>
        <v>9.9431663446479662E-3</v>
      </c>
      <c r="T88" s="190" t="s">
        <v>966</v>
      </c>
      <c r="U88" s="210">
        <f>+'[3]INDICADORES CECO 2DO TRIM'!$D$32</f>
        <v>1.235502210964607E-2</v>
      </c>
      <c r="V88" s="190" t="s">
        <v>967</v>
      </c>
      <c r="W88" s="210">
        <f>+'[3]INDICADORES CECO 2DO TRIM'!$F$32</f>
        <v>1.6837630953772935E-2</v>
      </c>
      <c r="X88" s="190" t="s">
        <v>968</v>
      </c>
      <c r="Y88" s="210">
        <f>+'[3]INDICADORES CECO 2DO TRIM'!$H$32</f>
        <v>5.76053313618358E-3</v>
      </c>
      <c r="Z88" s="190" t="s">
        <v>969</v>
      </c>
      <c r="AA88" s="325">
        <f>(30760455/2110517214)</f>
        <v>1.4574842032063141E-2</v>
      </c>
      <c r="AB88" s="37" t="s">
        <v>970</v>
      </c>
      <c r="AC88" s="325">
        <f>+(35565314/4799206508)</f>
        <v>7.4106654799527124E-3</v>
      </c>
      <c r="AD88" s="37" t="s">
        <v>971</v>
      </c>
      <c r="AE88" s="325">
        <f>+(103361875/9450703525)</f>
        <v>1.0936950326139873E-2</v>
      </c>
      <c r="AF88" s="37" t="s">
        <v>972</v>
      </c>
      <c r="AG88" s="375">
        <v>0</v>
      </c>
      <c r="AH88" s="370" t="s">
        <v>1328</v>
      </c>
      <c r="AI88" s="375">
        <v>0</v>
      </c>
      <c r="AJ88" s="370" t="s">
        <v>1328</v>
      </c>
      <c r="AK88" s="375">
        <v>0</v>
      </c>
      <c r="AL88" s="370" t="s">
        <v>1328</v>
      </c>
      <c r="AM88" s="211" t="s">
        <v>75</v>
      </c>
      <c r="AN88" s="24" t="s">
        <v>1305</v>
      </c>
      <c r="AO88" s="257"/>
      <c r="AP88" s="255"/>
      <c r="AQ88" s="255"/>
      <c r="AR88" s="338" t="s">
        <v>1341</v>
      </c>
      <c r="AS88" s="340" t="str">
        <f t="shared" ref="AS88:AS93" si="34">IF($AK88&gt;=25%,"RESULTADOS FAVORABLES",IF($AK88&lt;12.5%,"ACCIÓN CORRECTIVA",IF($AK88&lt;24%,"OPORTUNIDAD DE MEJORA")))</f>
        <v>ACCIÓN CORRECTIVA</v>
      </c>
      <c r="AT88" s="30">
        <f t="shared" si="20"/>
        <v>1.0854560453420094E-2</v>
      </c>
      <c r="AU88" s="30">
        <f t="shared" si="19"/>
        <v>1.2364767776023834E-2</v>
      </c>
      <c r="AV88" s="1"/>
      <c r="AW88" s="31">
        <f t="shared" si="21"/>
        <v>3.133658323285049E-2</v>
      </c>
      <c r="AX88" s="31">
        <f t="shared" si="22"/>
        <v>2.1099331825784374E-2</v>
      </c>
      <c r="AY88" s="31">
        <f t="shared" si="23"/>
        <v>9.9431663446479662E-3</v>
      </c>
      <c r="AZ88" s="31">
        <f t="shared" si="24"/>
        <v>1.235502210964607E-2</v>
      </c>
      <c r="BA88" s="31">
        <f t="shared" si="25"/>
        <v>1.6837630953772935E-2</v>
      </c>
      <c r="BB88" s="31">
        <f t="shared" si="26"/>
        <v>5.76053313618358E-3</v>
      </c>
      <c r="BC88" s="31">
        <f t="shared" si="27"/>
        <v>1.4574842032063141E-2</v>
      </c>
      <c r="BD88" s="31">
        <f t="shared" si="28"/>
        <v>7.4106654799527124E-3</v>
      </c>
      <c r="BE88" s="31">
        <f t="shared" si="29"/>
        <v>1.0936950326139873E-2</v>
      </c>
      <c r="BF88" s="31">
        <f t="shared" si="30"/>
        <v>0</v>
      </c>
      <c r="BG88" s="31">
        <f t="shared" si="31"/>
        <v>0</v>
      </c>
      <c r="BH88" s="31">
        <f t="shared" si="32"/>
        <v>0</v>
      </c>
    </row>
    <row r="89" spans="1:60" ht="132" customHeight="1" x14ac:dyDescent="0.2">
      <c r="A89" s="155" t="s">
        <v>954</v>
      </c>
      <c r="B89" s="18"/>
      <c r="C89" s="209" t="s">
        <v>956</v>
      </c>
      <c r="D89" s="20"/>
      <c r="E89" s="20" t="s">
        <v>958</v>
      </c>
      <c r="F89" s="187" t="s">
        <v>973</v>
      </c>
      <c r="G89" s="37" t="s">
        <v>974</v>
      </c>
      <c r="H89" s="190" t="s">
        <v>975</v>
      </c>
      <c r="I89" s="188" t="s">
        <v>62</v>
      </c>
      <c r="J89" s="188" t="s">
        <v>976</v>
      </c>
      <c r="K89" s="188" t="s">
        <v>509</v>
      </c>
      <c r="L89" s="188" t="s">
        <v>963</v>
      </c>
      <c r="M89" s="188" t="s">
        <v>977</v>
      </c>
      <c r="N89" s="188" t="s">
        <v>533</v>
      </c>
      <c r="O89" s="71">
        <v>0</v>
      </c>
      <c r="P89" s="190" t="s">
        <v>978</v>
      </c>
      <c r="Q89" s="71">
        <v>0</v>
      </c>
      <c r="R89" s="190" t="s">
        <v>978</v>
      </c>
      <c r="S89" s="212">
        <v>0.1</v>
      </c>
      <c r="T89" s="190" t="s">
        <v>979</v>
      </c>
      <c r="U89" s="213">
        <v>0.2</v>
      </c>
      <c r="V89" s="308" t="s">
        <v>980</v>
      </c>
      <c r="W89" s="213">
        <v>0.3</v>
      </c>
      <c r="X89" s="308" t="s">
        <v>981</v>
      </c>
      <c r="Y89" s="213">
        <v>0.3</v>
      </c>
      <c r="Z89" s="308" t="s">
        <v>982</v>
      </c>
      <c r="AA89" s="213">
        <v>0.3</v>
      </c>
      <c r="AB89" s="190" t="s">
        <v>983</v>
      </c>
      <c r="AC89" s="213">
        <v>0.3</v>
      </c>
      <c r="AD89" s="190" t="s">
        <v>983</v>
      </c>
      <c r="AE89" s="213">
        <v>0.5</v>
      </c>
      <c r="AF89" s="190" t="s">
        <v>984</v>
      </c>
      <c r="AG89" s="371">
        <v>0.7</v>
      </c>
      <c r="AH89" s="372" t="s">
        <v>1329</v>
      </c>
      <c r="AI89" s="371">
        <v>0.8</v>
      </c>
      <c r="AJ89" s="372" t="s">
        <v>1330</v>
      </c>
      <c r="AK89" s="371">
        <v>1</v>
      </c>
      <c r="AL89" s="372" t="s">
        <v>1331</v>
      </c>
      <c r="AM89" s="213" t="s">
        <v>985</v>
      </c>
      <c r="AN89" s="213" t="s">
        <v>986</v>
      </c>
      <c r="AO89" s="261"/>
      <c r="AP89" s="261"/>
      <c r="AQ89" s="376"/>
      <c r="AR89" s="267" t="s">
        <v>1153</v>
      </c>
      <c r="AS89" s="340" t="str">
        <f t="shared" si="34"/>
        <v>RESULTADOS FAVORABLES</v>
      </c>
      <c r="AT89" s="30">
        <f t="shared" si="20"/>
        <v>0.375</v>
      </c>
      <c r="AU89" s="30">
        <f t="shared" si="19"/>
        <v>0.45</v>
      </c>
      <c r="AV89" s="1"/>
      <c r="AW89" s="31">
        <f t="shared" si="21"/>
        <v>0</v>
      </c>
      <c r="AX89" s="31">
        <f t="shared" si="22"/>
        <v>0</v>
      </c>
      <c r="AY89" s="31">
        <f t="shared" si="23"/>
        <v>0.1</v>
      </c>
      <c r="AZ89" s="31">
        <f t="shared" si="24"/>
        <v>0.2</v>
      </c>
      <c r="BA89" s="31">
        <f t="shared" si="25"/>
        <v>0.3</v>
      </c>
      <c r="BB89" s="31">
        <f t="shared" si="26"/>
        <v>0.3</v>
      </c>
      <c r="BC89" s="31">
        <f t="shared" si="27"/>
        <v>0.3</v>
      </c>
      <c r="BD89" s="31">
        <f t="shared" si="28"/>
        <v>0.3</v>
      </c>
      <c r="BE89" s="31">
        <f t="shared" si="29"/>
        <v>0.5</v>
      </c>
      <c r="BF89" s="31">
        <f t="shared" si="30"/>
        <v>0.7</v>
      </c>
      <c r="BG89" s="31">
        <f t="shared" si="31"/>
        <v>0.8</v>
      </c>
      <c r="BH89" s="31">
        <f t="shared" si="32"/>
        <v>1</v>
      </c>
    </row>
    <row r="90" spans="1:60" ht="218.25" customHeight="1" x14ac:dyDescent="0.2">
      <c r="A90" s="155" t="s">
        <v>954</v>
      </c>
      <c r="B90" s="214"/>
      <c r="C90" s="209" t="s">
        <v>956</v>
      </c>
      <c r="D90" s="20"/>
      <c r="E90" s="20" t="s">
        <v>958</v>
      </c>
      <c r="F90" s="187" t="s">
        <v>987</v>
      </c>
      <c r="G90" s="37" t="s">
        <v>988</v>
      </c>
      <c r="H90" s="190" t="s">
        <v>989</v>
      </c>
      <c r="I90" s="188" t="s">
        <v>62</v>
      </c>
      <c r="J90" s="188" t="s">
        <v>990</v>
      </c>
      <c r="K90" s="188" t="s">
        <v>509</v>
      </c>
      <c r="L90" s="188" t="s">
        <v>963</v>
      </c>
      <c r="M90" s="188" t="s">
        <v>991</v>
      </c>
      <c r="N90" s="188" t="s">
        <v>533</v>
      </c>
      <c r="O90" s="71">
        <v>0</v>
      </c>
      <c r="P90" s="190" t="s">
        <v>978</v>
      </c>
      <c r="Q90" s="71">
        <v>0</v>
      </c>
      <c r="R90" s="190" t="s">
        <v>978</v>
      </c>
      <c r="S90" s="213">
        <v>0</v>
      </c>
      <c r="T90" s="190" t="s">
        <v>992</v>
      </c>
      <c r="U90" s="213">
        <v>0</v>
      </c>
      <c r="V90" s="308" t="s">
        <v>978</v>
      </c>
      <c r="W90" s="213">
        <v>0</v>
      </c>
      <c r="X90" s="308" t="s">
        <v>978</v>
      </c>
      <c r="Y90" s="213">
        <v>0.25</v>
      </c>
      <c r="Z90" s="308" t="s">
        <v>993</v>
      </c>
      <c r="AA90" s="190" t="s">
        <v>994</v>
      </c>
      <c r="AB90" s="190" t="s">
        <v>978</v>
      </c>
      <c r="AC90" s="190" t="s">
        <v>994</v>
      </c>
      <c r="AD90" s="190" t="s">
        <v>978</v>
      </c>
      <c r="AE90" s="326">
        <v>0</v>
      </c>
      <c r="AF90" s="190" t="s">
        <v>978</v>
      </c>
      <c r="AG90" s="372" t="s">
        <v>994</v>
      </c>
      <c r="AH90" s="372" t="s">
        <v>978</v>
      </c>
      <c r="AI90" s="372" t="s">
        <v>994</v>
      </c>
      <c r="AJ90" s="372" t="s">
        <v>978</v>
      </c>
      <c r="AK90" s="371">
        <v>1</v>
      </c>
      <c r="AL90" s="372" t="s">
        <v>1332</v>
      </c>
      <c r="AM90" s="213" t="s">
        <v>995</v>
      </c>
      <c r="AN90" s="213" t="s">
        <v>996</v>
      </c>
      <c r="AO90" s="255"/>
      <c r="AP90" s="255"/>
      <c r="AQ90" s="376"/>
      <c r="AR90" s="267" t="s">
        <v>1153</v>
      </c>
      <c r="AS90" s="340" t="str">
        <f t="shared" si="34"/>
        <v>RESULTADOS FAVORABLES</v>
      </c>
      <c r="AT90" s="30">
        <f t="shared" si="20"/>
        <v>0.15625</v>
      </c>
      <c r="AU90" s="30">
        <f t="shared" si="19"/>
        <v>0.625</v>
      </c>
      <c r="AV90" s="1"/>
      <c r="AW90" s="31">
        <f t="shared" si="21"/>
        <v>0</v>
      </c>
      <c r="AX90" s="31">
        <f t="shared" si="22"/>
        <v>0</v>
      </c>
      <c r="AY90" s="31">
        <f t="shared" si="23"/>
        <v>0</v>
      </c>
      <c r="AZ90" s="31">
        <f t="shared" si="24"/>
        <v>0</v>
      </c>
      <c r="BA90" s="31">
        <f t="shared" si="25"/>
        <v>0</v>
      </c>
      <c r="BB90" s="31">
        <f t="shared" si="26"/>
        <v>0.25</v>
      </c>
      <c r="BC90" s="31" t="str">
        <f t="shared" si="27"/>
        <v>Se realiza evaluación trimestral</v>
      </c>
      <c r="BD90" s="31" t="str">
        <f t="shared" si="28"/>
        <v>Se realiza evaluación trimestral</v>
      </c>
      <c r="BE90" s="31">
        <f t="shared" si="29"/>
        <v>0</v>
      </c>
      <c r="BF90" s="31" t="str">
        <f t="shared" si="30"/>
        <v>Se realiza evaluación trimestral</v>
      </c>
      <c r="BG90" s="31" t="str">
        <f t="shared" si="31"/>
        <v>Se realiza evaluación trimestral</v>
      </c>
      <c r="BH90" s="31">
        <f t="shared" si="32"/>
        <v>1</v>
      </c>
    </row>
    <row r="91" spans="1:60" ht="99" customHeight="1" x14ac:dyDescent="0.2">
      <c r="A91" s="155" t="s">
        <v>954</v>
      </c>
      <c r="B91" s="214"/>
      <c r="C91" s="209" t="s">
        <v>956</v>
      </c>
      <c r="D91" s="20"/>
      <c r="E91" s="20" t="s">
        <v>958</v>
      </c>
      <c r="F91" s="187" t="s">
        <v>997</v>
      </c>
      <c r="G91" s="42" t="s">
        <v>998</v>
      </c>
      <c r="H91" s="190" t="s">
        <v>999</v>
      </c>
      <c r="I91" s="188" t="s">
        <v>62</v>
      </c>
      <c r="J91" s="188" t="s">
        <v>990</v>
      </c>
      <c r="K91" s="188" t="s">
        <v>509</v>
      </c>
      <c r="L91" s="188" t="s">
        <v>963</v>
      </c>
      <c r="M91" s="188" t="s">
        <v>265</v>
      </c>
      <c r="N91" s="188" t="s">
        <v>265</v>
      </c>
      <c r="O91" s="212">
        <v>0</v>
      </c>
      <c r="P91" s="190" t="s">
        <v>1000</v>
      </c>
      <c r="Q91" s="212">
        <v>0</v>
      </c>
      <c r="R91" s="190" t="s">
        <v>1000</v>
      </c>
      <c r="S91" s="212">
        <v>0</v>
      </c>
      <c r="T91" s="190" t="s">
        <v>1000</v>
      </c>
      <c r="U91" s="212">
        <v>0</v>
      </c>
      <c r="V91" s="308" t="s">
        <v>1000</v>
      </c>
      <c r="W91" s="212">
        <v>0</v>
      </c>
      <c r="X91" s="308" t="s">
        <v>1000</v>
      </c>
      <c r="Y91" s="212">
        <v>0</v>
      </c>
      <c r="Z91" s="308" t="s">
        <v>1000</v>
      </c>
      <c r="AA91" s="190" t="s">
        <v>1001</v>
      </c>
      <c r="AB91" s="190" t="s">
        <v>1000</v>
      </c>
      <c r="AC91" s="190" t="s">
        <v>1001</v>
      </c>
      <c r="AD91" s="190" t="s">
        <v>1000</v>
      </c>
      <c r="AE91" s="190" t="s">
        <v>1001</v>
      </c>
      <c r="AF91" s="190" t="s">
        <v>1000</v>
      </c>
      <c r="AG91" s="372" t="s">
        <v>1001</v>
      </c>
      <c r="AH91" s="372" t="s">
        <v>1000</v>
      </c>
      <c r="AI91" s="372" t="s">
        <v>1001</v>
      </c>
      <c r="AJ91" s="372" t="s">
        <v>1000</v>
      </c>
      <c r="AK91" s="372" t="s">
        <v>1333</v>
      </c>
      <c r="AL91" s="372" t="s">
        <v>1334</v>
      </c>
      <c r="AM91" s="213" t="s">
        <v>1002</v>
      </c>
      <c r="AN91" s="213" t="s">
        <v>1003</v>
      </c>
      <c r="AO91" s="255"/>
      <c r="AP91" s="255"/>
      <c r="AQ91" s="376"/>
      <c r="AR91" s="267" t="s">
        <v>1153</v>
      </c>
      <c r="AS91" s="340" t="str">
        <f t="shared" si="34"/>
        <v>RESULTADOS FAVORABLES</v>
      </c>
      <c r="AT91" s="30">
        <f t="shared" si="20"/>
        <v>0</v>
      </c>
      <c r="AU91" s="30">
        <f t="shared" si="19"/>
        <v>0</v>
      </c>
      <c r="AV91" s="1"/>
      <c r="AW91" s="31">
        <f t="shared" si="21"/>
        <v>0</v>
      </c>
      <c r="AX91" s="31">
        <f t="shared" si="22"/>
        <v>0</v>
      </c>
      <c r="AY91" s="31">
        <f t="shared" si="23"/>
        <v>0</v>
      </c>
      <c r="AZ91" s="31">
        <f t="shared" si="24"/>
        <v>0</v>
      </c>
      <c r="BA91" s="31">
        <f t="shared" si="25"/>
        <v>0</v>
      </c>
      <c r="BB91" s="31">
        <f t="shared" si="26"/>
        <v>0</v>
      </c>
      <c r="BC91" s="31" t="str">
        <f t="shared" si="27"/>
        <v>No aplica evaluación anual</v>
      </c>
      <c r="BD91" s="31" t="str">
        <f t="shared" si="28"/>
        <v>No aplica evaluación anual</v>
      </c>
      <c r="BE91" s="31" t="str">
        <f t="shared" si="29"/>
        <v>No aplica evaluación anual</v>
      </c>
      <c r="BF91" s="31" t="str">
        <f t="shared" si="30"/>
        <v>No aplica evaluación anual</v>
      </c>
      <c r="BG91" s="31" t="str">
        <f t="shared" si="31"/>
        <v>No aplica evaluación anual</v>
      </c>
      <c r="BH91" s="31" t="str">
        <f t="shared" si="32"/>
        <v>Informe a entregar Enero 2019</v>
      </c>
    </row>
    <row r="92" spans="1:60" ht="330" x14ac:dyDescent="0.2">
      <c r="A92" s="155" t="s">
        <v>954</v>
      </c>
      <c r="B92" s="214"/>
      <c r="C92" s="209" t="s">
        <v>956</v>
      </c>
      <c r="D92" s="20"/>
      <c r="E92" s="20" t="s">
        <v>958</v>
      </c>
      <c r="F92" s="187" t="s">
        <v>1004</v>
      </c>
      <c r="G92" s="37" t="s">
        <v>1005</v>
      </c>
      <c r="H92" s="190" t="s">
        <v>1006</v>
      </c>
      <c r="I92" s="188" t="s">
        <v>62</v>
      </c>
      <c r="J92" s="188" t="s">
        <v>1007</v>
      </c>
      <c r="K92" s="188" t="s">
        <v>509</v>
      </c>
      <c r="L92" s="188" t="s">
        <v>963</v>
      </c>
      <c r="M92" s="188" t="s">
        <v>51</v>
      </c>
      <c r="N92" s="188" t="s">
        <v>51</v>
      </c>
      <c r="O92" s="188">
        <f>((1/1)*100)</f>
        <v>100</v>
      </c>
      <c r="P92" s="190" t="s">
        <v>1008</v>
      </c>
      <c r="Q92" s="71">
        <v>0</v>
      </c>
      <c r="R92" s="190" t="s">
        <v>1009</v>
      </c>
      <c r="S92" s="188">
        <f>((3/3)*100)</f>
        <v>100</v>
      </c>
      <c r="T92" s="190" t="s">
        <v>1010</v>
      </c>
      <c r="U92" s="213">
        <v>1</v>
      </c>
      <c r="V92" s="308" t="s">
        <v>1011</v>
      </c>
      <c r="W92" s="213">
        <v>1</v>
      </c>
      <c r="X92" s="308" t="s">
        <v>1012</v>
      </c>
      <c r="Y92" s="213">
        <v>1</v>
      </c>
      <c r="Z92" s="308" t="s">
        <v>1013</v>
      </c>
      <c r="AA92" s="327">
        <f>4/4</f>
        <v>1</v>
      </c>
      <c r="AB92" s="222" t="s">
        <v>1014</v>
      </c>
      <c r="AC92" s="327">
        <f>1/1</f>
        <v>1</v>
      </c>
      <c r="AD92" s="222" t="s">
        <v>1015</v>
      </c>
      <c r="AE92" s="327">
        <f>1/1</f>
        <v>1</v>
      </c>
      <c r="AF92" s="222" t="s">
        <v>1016</v>
      </c>
      <c r="AG92" s="373">
        <f>3/3</f>
        <v>1</v>
      </c>
      <c r="AH92" s="374" t="s">
        <v>1335</v>
      </c>
      <c r="AI92" s="373">
        <f>1/1</f>
        <v>1</v>
      </c>
      <c r="AJ92" s="374" t="s">
        <v>1336</v>
      </c>
      <c r="AK92" s="373">
        <f>1/1</f>
        <v>1</v>
      </c>
      <c r="AL92" s="374" t="s">
        <v>1337</v>
      </c>
      <c r="AM92" s="213">
        <v>1</v>
      </c>
      <c r="AN92" s="213" t="s">
        <v>1017</v>
      </c>
      <c r="AO92" s="255"/>
      <c r="AP92" s="255"/>
      <c r="AQ92" s="376"/>
      <c r="AR92" s="267" t="s">
        <v>1153</v>
      </c>
      <c r="AS92" s="340" t="str">
        <f t="shared" si="34"/>
        <v>RESULTADOS FAVORABLES</v>
      </c>
      <c r="AT92" s="30">
        <f t="shared" si="20"/>
        <v>17.416666666666668</v>
      </c>
      <c r="AU92" s="30">
        <f t="shared" si="19"/>
        <v>10.9</v>
      </c>
      <c r="AV92" s="1"/>
      <c r="AW92" s="31">
        <f t="shared" si="21"/>
        <v>100</v>
      </c>
      <c r="AX92" s="31">
        <f t="shared" si="22"/>
        <v>0</v>
      </c>
      <c r="AY92" s="31">
        <f t="shared" si="23"/>
        <v>100</v>
      </c>
      <c r="AZ92" s="31">
        <f t="shared" si="24"/>
        <v>1</v>
      </c>
      <c r="BA92" s="31">
        <f t="shared" si="25"/>
        <v>1</v>
      </c>
      <c r="BB92" s="31">
        <f t="shared" si="26"/>
        <v>1</v>
      </c>
      <c r="BC92" s="31">
        <f t="shared" si="27"/>
        <v>1</v>
      </c>
      <c r="BD92" s="31">
        <f t="shared" si="28"/>
        <v>1</v>
      </c>
      <c r="BE92" s="31">
        <f t="shared" si="29"/>
        <v>1</v>
      </c>
      <c r="BF92" s="31">
        <f t="shared" si="30"/>
        <v>1</v>
      </c>
      <c r="BG92" s="31">
        <f t="shared" si="31"/>
        <v>1</v>
      </c>
      <c r="BH92" s="31">
        <f t="shared" si="32"/>
        <v>1</v>
      </c>
    </row>
    <row r="93" spans="1:60" ht="409.5" x14ac:dyDescent="0.2">
      <c r="A93" s="155" t="s">
        <v>954</v>
      </c>
      <c r="B93" s="214"/>
      <c r="C93" s="209" t="s">
        <v>956</v>
      </c>
      <c r="D93" s="20"/>
      <c r="E93" s="20" t="s">
        <v>958</v>
      </c>
      <c r="F93" s="187" t="s">
        <v>1018</v>
      </c>
      <c r="G93" s="37" t="s">
        <v>1019</v>
      </c>
      <c r="H93" s="190" t="s">
        <v>1020</v>
      </c>
      <c r="I93" s="188" t="s">
        <v>62</v>
      </c>
      <c r="J93" s="188" t="s">
        <v>1021</v>
      </c>
      <c r="K93" s="188" t="s">
        <v>509</v>
      </c>
      <c r="L93" s="188" t="s">
        <v>963</v>
      </c>
      <c r="M93" s="188" t="s">
        <v>1022</v>
      </c>
      <c r="N93" s="188" t="s">
        <v>1022</v>
      </c>
      <c r="O93" s="188">
        <f>((1/1)*100)</f>
        <v>100</v>
      </c>
      <c r="P93" s="190" t="s">
        <v>1023</v>
      </c>
      <c r="Q93" s="212">
        <v>1</v>
      </c>
      <c r="R93" s="190" t="s">
        <v>1024</v>
      </c>
      <c r="S93" s="213">
        <v>1</v>
      </c>
      <c r="T93" s="190" t="s">
        <v>1025</v>
      </c>
      <c r="U93" s="213">
        <v>1</v>
      </c>
      <c r="V93" s="308" t="s">
        <v>1026</v>
      </c>
      <c r="W93" s="213">
        <v>1</v>
      </c>
      <c r="X93" s="308" t="s">
        <v>1027</v>
      </c>
      <c r="Y93" s="213">
        <v>1</v>
      </c>
      <c r="Z93" s="308" t="s">
        <v>1028</v>
      </c>
      <c r="AA93" s="327">
        <f>19/19</f>
        <v>1</v>
      </c>
      <c r="AB93" s="222" t="s">
        <v>1029</v>
      </c>
      <c r="AC93" s="327">
        <f>19/19</f>
        <v>1</v>
      </c>
      <c r="AD93" s="222" t="s">
        <v>1030</v>
      </c>
      <c r="AE93" s="327">
        <f>19/19</f>
        <v>1</v>
      </c>
      <c r="AF93" s="222" t="s">
        <v>1031</v>
      </c>
      <c r="AG93" s="373">
        <f>24/24</f>
        <v>1</v>
      </c>
      <c r="AH93" s="374" t="s">
        <v>1338</v>
      </c>
      <c r="AI93" s="373">
        <f>23/23</f>
        <v>1</v>
      </c>
      <c r="AJ93" s="374" t="s">
        <v>1339</v>
      </c>
      <c r="AK93" s="373">
        <f>26/26</f>
        <v>1</v>
      </c>
      <c r="AL93" s="374" t="s">
        <v>1340</v>
      </c>
      <c r="AM93" s="213"/>
      <c r="AN93" s="213" t="s">
        <v>1032</v>
      </c>
      <c r="AO93" s="255"/>
      <c r="AP93" s="255"/>
      <c r="AQ93" s="376"/>
      <c r="AR93" s="267" t="s">
        <v>1153</v>
      </c>
      <c r="AS93" s="340" t="str">
        <f t="shared" si="34"/>
        <v>RESULTADOS FAVORABLES</v>
      </c>
      <c r="AT93" s="30">
        <f t="shared" si="20"/>
        <v>9.25</v>
      </c>
      <c r="AU93" s="30">
        <f t="shared" si="19"/>
        <v>1</v>
      </c>
      <c r="AV93" s="1"/>
      <c r="AW93" s="31">
        <f t="shared" si="21"/>
        <v>100</v>
      </c>
      <c r="AX93" s="31">
        <f t="shared" si="22"/>
        <v>1</v>
      </c>
      <c r="AY93" s="31">
        <f t="shared" si="23"/>
        <v>1</v>
      </c>
      <c r="AZ93" s="31">
        <f t="shared" si="24"/>
        <v>1</v>
      </c>
      <c r="BA93" s="31">
        <f t="shared" si="25"/>
        <v>1</v>
      </c>
      <c r="BB93" s="31">
        <f t="shared" si="26"/>
        <v>1</v>
      </c>
      <c r="BC93" s="31">
        <f t="shared" si="27"/>
        <v>1</v>
      </c>
      <c r="BD93" s="31">
        <f t="shared" si="28"/>
        <v>1</v>
      </c>
      <c r="BE93" s="31">
        <f t="shared" si="29"/>
        <v>1</v>
      </c>
      <c r="BF93" s="31">
        <f t="shared" si="30"/>
        <v>1</v>
      </c>
      <c r="BG93" s="31">
        <f t="shared" si="31"/>
        <v>1</v>
      </c>
      <c r="BH93" s="31">
        <f t="shared" si="32"/>
        <v>1</v>
      </c>
    </row>
    <row r="94" spans="1:60" ht="126" customHeight="1" x14ac:dyDescent="0.2">
      <c r="A94" s="155" t="s">
        <v>954</v>
      </c>
      <c r="B94" s="45" t="s">
        <v>1033</v>
      </c>
      <c r="C94" s="215" t="s">
        <v>1034</v>
      </c>
      <c r="D94" s="20" t="s">
        <v>1035</v>
      </c>
      <c r="E94" s="86" t="s">
        <v>1036</v>
      </c>
      <c r="F94" s="126" t="s">
        <v>1037</v>
      </c>
      <c r="G94" s="109" t="s">
        <v>1038</v>
      </c>
      <c r="H94" s="190" t="s">
        <v>1039</v>
      </c>
      <c r="I94" s="188" t="s">
        <v>47</v>
      </c>
      <c r="J94" s="216" t="s">
        <v>1040</v>
      </c>
      <c r="K94" s="216" t="s">
        <v>385</v>
      </c>
      <c r="L94" s="115" t="s">
        <v>1041</v>
      </c>
      <c r="M94" s="216" t="s">
        <v>361</v>
      </c>
      <c r="N94" s="216" t="s">
        <v>361</v>
      </c>
      <c r="O94" s="217">
        <v>1</v>
      </c>
      <c r="P94" s="204" t="s">
        <v>1263</v>
      </c>
      <c r="Q94" s="217">
        <v>1</v>
      </c>
      <c r="R94" s="204" t="s">
        <v>1263</v>
      </c>
      <c r="S94" s="218">
        <v>0.99644999999999995</v>
      </c>
      <c r="T94" s="204" t="s">
        <v>1042</v>
      </c>
      <c r="U94" s="335">
        <v>0.99034999999999995</v>
      </c>
      <c r="V94" s="336"/>
      <c r="W94" s="334">
        <v>1</v>
      </c>
      <c r="X94" s="222" t="s">
        <v>1263</v>
      </c>
      <c r="Y94" s="217">
        <v>1</v>
      </c>
      <c r="Z94" s="222" t="s">
        <v>1263</v>
      </c>
      <c r="AA94" s="217">
        <v>1</v>
      </c>
      <c r="AB94" s="222" t="s">
        <v>1263</v>
      </c>
      <c r="AC94" s="217">
        <v>1</v>
      </c>
      <c r="AD94" s="222" t="s">
        <v>1263</v>
      </c>
      <c r="AE94" s="217">
        <v>1</v>
      </c>
      <c r="AF94" s="222" t="s">
        <v>1263</v>
      </c>
      <c r="AG94" s="217">
        <v>1</v>
      </c>
      <c r="AH94" s="204" t="s">
        <v>1342</v>
      </c>
      <c r="AI94" s="217">
        <v>1</v>
      </c>
      <c r="AJ94" s="204" t="s">
        <v>1342</v>
      </c>
      <c r="AK94" s="217">
        <v>1</v>
      </c>
      <c r="AL94" s="204" t="s">
        <v>1342</v>
      </c>
      <c r="AM94" s="217">
        <v>0</v>
      </c>
      <c r="AN94" s="115" t="s">
        <v>897</v>
      </c>
      <c r="AO94" s="255"/>
      <c r="AP94" s="255"/>
      <c r="AQ94" s="269"/>
      <c r="AR94" s="267" t="s">
        <v>1153</v>
      </c>
      <c r="AS94" s="340" t="str">
        <f t="shared" ref="AS94" si="35">IF($AE94&gt;=25%,"RESULTADOS FAVORABLES",IF($AE94&lt;12.5%,"ACCIÓN CORRECTIVA",IF($AE94&lt;24%,"OPORTUNIDAD DE MEJORA")))</f>
        <v>RESULTADOS FAVORABLES</v>
      </c>
      <c r="AT94" s="30">
        <f t="shared" si="20"/>
        <v>0.9988999999999999</v>
      </c>
      <c r="AU94" s="30">
        <f t="shared" si="19"/>
        <v>0.99879999999999991</v>
      </c>
      <c r="AV94" s="1"/>
      <c r="AW94" s="31">
        <f t="shared" si="21"/>
        <v>1</v>
      </c>
      <c r="AX94" s="31">
        <f t="shared" si="22"/>
        <v>1</v>
      </c>
      <c r="AY94" s="31">
        <f t="shared" si="23"/>
        <v>0.99644999999999995</v>
      </c>
      <c r="AZ94" s="31">
        <f t="shared" si="24"/>
        <v>0.99034999999999995</v>
      </c>
      <c r="BA94" s="31">
        <f t="shared" si="25"/>
        <v>1</v>
      </c>
      <c r="BB94" s="31">
        <f t="shared" si="26"/>
        <v>1</v>
      </c>
      <c r="BC94" s="31">
        <f t="shared" si="27"/>
        <v>1</v>
      </c>
      <c r="BD94" s="31">
        <f t="shared" si="28"/>
        <v>1</v>
      </c>
      <c r="BE94" s="31">
        <f t="shared" si="29"/>
        <v>1</v>
      </c>
      <c r="BF94" s="31">
        <f t="shared" si="30"/>
        <v>1</v>
      </c>
      <c r="BG94" s="31">
        <f t="shared" si="31"/>
        <v>1</v>
      </c>
      <c r="BH94" s="31">
        <f t="shared" si="32"/>
        <v>1</v>
      </c>
    </row>
    <row r="95" spans="1:60" ht="169.5" customHeight="1" x14ac:dyDescent="0.2">
      <c r="A95" s="155" t="s">
        <v>954</v>
      </c>
      <c r="B95" s="214"/>
      <c r="C95" s="186" t="s">
        <v>1034</v>
      </c>
      <c r="D95" s="20"/>
      <c r="E95" s="20" t="s">
        <v>1036</v>
      </c>
      <c r="F95" s="220" t="s">
        <v>1043</v>
      </c>
      <c r="G95" s="37" t="s">
        <v>1044</v>
      </c>
      <c r="H95" s="190" t="s">
        <v>1045</v>
      </c>
      <c r="I95" s="188" t="s">
        <v>47</v>
      </c>
      <c r="J95" s="216" t="s">
        <v>1046</v>
      </c>
      <c r="K95" s="216" t="s">
        <v>1047</v>
      </c>
      <c r="L95" s="115" t="s">
        <v>1041</v>
      </c>
      <c r="M95" s="216" t="s">
        <v>749</v>
      </c>
      <c r="N95" s="216" t="s">
        <v>749</v>
      </c>
      <c r="O95" s="71">
        <v>0</v>
      </c>
      <c r="P95" s="204" t="s">
        <v>1048</v>
      </c>
      <c r="Q95" s="71">
        <v>0</v>
      </c>
      <c r="R95" s="204" t="s">
        <v>1048</v>
      </c>
      <c r="S95" s="71">
        <v>0</v>
      </c>
      <c r="T95" s="204" t="s">
        <v>1048</v>
      </c>
      <c r="U95" s="40">
        <v>0</v>
      </c>
      <c r="V95" s="219"/>
      <c r="W95" s="40">
        <v>0</v>
      </c>
      <c r="X95" s="219"/>
      <c r="Y95" s="214">
        <v>8</v>
      </c>
      <c r="Z95" s="222" t="s">
        <v>1049</v>
      </c>
      <c r="AA95" s="216" t="s">
        <v>1258</v>
      </c>
      <c r="AB95" s="204" t="s">
        <v>1048</v>
      </c>
      <c r="AC95" s="216" t="s">
        <v>1258</v>
      </c>
      <c r="AD95" s="204" t="s">
        <v>1048</v>
      </c>
      <c r="AE95" s="216" t="s">
        <v>1258</v>
      </c>
      <c r="AF95" s="204" t="s">
        <v>1048</v>
      </c>
      <c r="AG95" s="216" t="s">
        <v>1258</v>
      </c>
      <c r="AH95" s="204" t="s">
        <v>1048</v>
      </c>
      <c r="AI95" s="216" t="s">
        <v>1258</v>
      </c>
      <c r="AJ95" s="204" t="s">
        <v>1048</v>
      </c>
      <c r="AK95" s="214">
        <v>6</v>
      </c>
      <c r="AL95" s="219" t="s">
        <v>1343</v>
      </c>
      <c r="AM95" s="217">
        <v>0</v>
      </c>
      <c r="AN95" s="115" t="s">
        <v>897</v>
      </c>
      <c r="AO95" s="255"/>
      <c r="AP95" s="255"/>
      <c r="AQ95" s="269"/>
      <c r="AR95" s="267" t="s">
        <v>1348</v>
      </c>
      <c r="AS95" s="340" t="str">
        <f>IF('[5]2018'!$G$18&gt;=25%,"RESULTADOS FAVORABLES",IF('[5]2018'!$G$18&lt;12.5%,"ACCIÓN CORRECTIVA",IF('[5]2018'!$G$18&lt;24%,"OPORTUNIDAD DE MEJORA")))</f>
        <v>RESULTADOS FAVORABLES</v>
      </c>
      <c r="AT95" s="30">
        <f t="shared" si="20"/>
        <v>2</v>
      </c>
      <c r="AU95" s="30">
        <f t="shared" si="19"/>
        <v>7</v>
      </c>
      <c r="AV95" s="1"/>
      <c r="AW95" s="31">
        <f t="shared" si="21"/>
        <v>0</v>
      </c>
      <c r="AX95" s="31">
        <f t="shared" si="22"/>
        <v>0</v>
      </c>
      <c r="AY95" s="31">
        <f t="shared" si="23"/>
        <v>0</v>
      </c>
      <c r="AZ95" s="31">
        <f t="shared" si="24"/>
        <v>0</v>
      </c>
      <c r="BA95" s="31">
        <f t="shared" si="25"/>
        <v>0</v>
      </c>
      <c r="BB95" s="31">
        <f t="shared" si="26"/>
        <v>8</v>
      </c>
      <c r="BC95" s="31" t="str">
        <f t="shared" si="27"/>
        <v>No se reporta</v>
      </c>
      <c r="BD95" s="31" t="str">
        <f t="shared" si="28"/>
        <v>No se reporta</v>
      </c>
      <c r="BE95" s="31" t="str">
        <f t="shared" si="29"/>
        <v>No se reporta</v>
      </c>
      <c r="BF95" s="31" t="str">
        <f t="shared" si="30"/>
        <v>No se reporta</v>
      </c>
      <c r="BG95" s="31" t="str">
        <f t="shared" si="31"/>
        <v>No se reporta</v>
      </c>
      <c r="BH95" s="31">
        <f t="shared" si="32"/>
        <v>6</v>
      </c>
    </row>
    <row r="96" spans="1:60" ht="90" customHeight="1" x14ac:dyDescent="0.2">
      <c r="A96" s="155" t="s">
        <v>954</v>
      </c>
      <c r="B96" s="214"/>
      <c r="C96" s="186" t="s">
        <v>1034</v>
      </c>
      <c r="D96" s="20" t="s">
        <v>1050</v>
      </c>
      <c r="E96" s="86" t="s">
        <v>1051</v>
      </c>
      <c r="F96" s="126" t="s">
        <v>1052</v>
      </c>
      <c r="G96" s="109" t="s">
        <v>1053</v>
      </c>
      <c r="H96" s="190" t="s">
        <v>1054</v>
      </c>
      <c r="I96" s="188" t="s">
        <v>47</v>
      </c>
      <c r="J96" s="216" t="s">
        <v>1055</v>
      </c>
      <c r="K96" s="216" t="s">
        <v>385</v>
      </c>
      <c r="L96" s="115" t="s">
        <v>1041</v>
      </c>
      <c r="M96" s="216" t="s">
        <v>361</v>
      </c>
      <c r="N96" s="216" t="s">
        <v>361</v>
      </c>
      <c r="O96" s="378">
        <v>0.98885000000000001</v>
      </c>
      <c r="P96" s="204" t="s">
        <v>1056</v>
      </c>
      <c r="Q96" s="378">
        <v>0.99077999999999999</v>
      </c>
      <c r="R96" s="204" t="s">
        <v>1056</v>
      </c>
      <c r="S96" s="378">
        <v>0.99309000000000003</v>
      </c>
      <c r="T96" s="204" t="s">
        <v>1056</v>
      </c>
      <c r="U96" s="377">
        <v>0.99287999999999998</v>
      </c>
      <c r="V96" s="204" t="s">
        <v>1057</v>
      </c>
      <c r="W96" s="377">
        <v>0.99304999999999999</v>
      </c>
      <c r="X96" s="204" t="s">
        <v>1057</v>
      </c>
      <c r="Y96" s="377">
        <v>0.9879</v>
      </c>
      <c r="Z96" s="204" t="s">
        <v>1057</v>
      </c>
      <c r="AA96" s="378">
        <v>0.99663000000000002</v>
      </c>
      <c r="AB96" s="204" t="s">
        <v>1057</v>
      </c>
      <c r="AC96" s="378">
        <v>0.99453000000000003</v>
      </c>
      <c r="AD96" s="204" t="s">
        <v>1057</v>
      </c>
      <c r="AE96" s="378">
        <v>0.99761999999999995</v>
      </c>
      <c r="AF96" s="204" t="s">
        <v>1057</v>
      </c>
      <c r="AG96" s="333">
        <v>0.99802000000000002</v>
      </c>
      <c r="AH96" s="204" t="s">
        <v>1057</v>
      </c>
      <c r="AI96" s="333">
        <v>0.99772000000000005</v>
      </c>
      <c r="AJ96" s="204" t="s">
        <v>1057</v>
      </c>
      <c r="AK96" s="333">
        <v>0.99521999999999999</v>
      </c>
      <c r="AL96" s="204" t="s">
        <v>1057</v>
      </c>
      <c r="AM96" s="217">
        <v>0</v>
      </c>
      <c r="AN96" s="115" t="s">
        <v>897</v>
      </c>
      <c r="AO96" s="255"/>
      <c r="AP96" s="255"/>
      <c r="AQ96" s="269"/>
      <c r="AR96" s="267" t="s">
        <v>1153</v>
      </c>
      <c r="AS96" s="340" t="str">
        <f>IF($AK96&gt;=25%,"RESULTADOS FAVORABLES",IF($AK96&lt;12.5%,"ACCIÓN CORRECTIVA",IF($AK96&lt;24%,"OPORTUNIDAD DE MEJORA")))</f>
        <v>RESULTADOS FAVORABLES</v>
      </c>
      <c r="AT96" s="30">
        <f t="shared" si="20"/>
        <v>0.99385749999999984</v>
      </c>
      <c r="AU96" s="30">
        <f t="shared" si="19"/>
        <v>0.99431272727272713</v>
      </c>
      <c r="AV96" s="1"/>
      <c r="AW96" s="31">
        <f t="shared" si="21"/>
        <v>0.98885000000000001</v>
      </c>
      <c r="AX96" s="31">
        <f t="shared" si="22"/>
        <v>0.99077999999999999</v>
      </c>
      <c r="AY96" s="31">
        <f t="shared" si="23"/>
        <v>0.99309000000000003</v>
      </c>
      <c r="AZ96" s="31">
        <f t="shared" si="24"/>
        <v>0.99287999999999998</v>
      </c>
      <c r="BA96" s="31">
        <f t="shared" si="25"/>
        <v>0.99304999999999999</v>
      </c>
      <c r="BB96" s="31">
        <f t="shared" si="26"/>
        <v>0.9879</v>
      </c>
      <c r="BC96" s="31">
        <f t="shared" si="27"/>
        <v>0.99663000000000002</v>
      </c>
      <c r="BD96" s="31">
        <f t="shared" si="28"/>
        <v>0.99453000000000003</v>
      </c>
      <c r="BE96" s="31">
        <f t="shared" si="29"/>
        <v>0.99761999999999995</v>
      </c>
      <c r="BF96" s="31">
        <f t="shared" si="30"/>
        <v>0.99802000000000002</v>
      </c>
      <c r="BG96" s="31">
        <f t="shared" si="31"/>
        <v>0.99772000000000005</v>
      </c>
      <c r="BH96" s="31">
        <f t="shared" si="32"/>
        <v>0.99521999999999999</v>
      </c>
    </row>
    <row r="97" spans="1:60" ht="210" x14ac:dyDescent="0.2">
      <c r="A97" s="155" t="s">
        <v>954</v>
      </c>
      <c r="B97" s="214"/>
      <c r="C97" s="186" t="s">
        <v>1034</v>
      </c>
      <c r="D97" s="20" t="s">
        <v>1253</v>
      </c>
      <c r="E97" s="86" t="s">
        <v>1051</v>
      </c>
      <c r="F97" s="126" t="s">
        <v>1249</v>
      </c>
      <c r="G97" s="332" t="s">
        <v>1255</v>
      </c>
      <c r="H97" s="156" t="s">
        <v>1256</v>
      </c>
      <c r="I97" s="158" t="s">
        <v>47</v>
      </c>
      <c r="J97" s="158" t="s">
        <v>1257</v>
      </c>
      <c r="K97" s="158" t="s">
        <v>1047</v>
      </c>
      <c r="L97" s="158" t="s">
        <v>1041</v>
      </c>
      <c r="M97" s="158" t="s">
        <v>81</v>
      </c>
      <c r="N97" s="158" t="s">
        <v>81</v>
      </c>
      <c r="O97" s="216" t="s">
        <v>1258</v>
      </c>
      <c r="P97" s="156"/>
      <c r="Q97" s="216" t="s">
        <v>1258</v>
      </c>
      <c r="R97" s="156"/>
      <c r="S97" s="168">
        <v>0</v>
      </c>
      <c r="T97" s="156" t="s">
        <v>1259</v>
      </c>
      <c r="U97" s="216" t="s">
        <v>1258</v>
      </c>
      <c r="V97" s="169"/>
      <c r="W97" s="216" t="s">
        <v>1258</v>
      </c>
      <c r="X97" s="169"/>
      <c r="Y97" s="333">
        <v>0</v>
      </c>
      <c r="Z97" s="169"/>
      <c r="AA97" s="216" t="s">
        <v>1258</v>
      </c>
      <c r="AB97" s="169"/>
      <c r="AC97" s="216" t="s">
        <v>1258</v>
      </c>
      <c r="AD97" s="169"/>
      <c r="AE97" s="216" t="s">
        <v>1258</v>
      </c>
      <c r="AF97" s="169"/>
      <c r="AG97" s="216" t="s">
        <v>1258</v>
      </c>
      <c r="AH97" s="169"/>
      <c r="AI97" s="216" t="s">
        <v>1258</v>
      </c>
      <c r="AJ97" s="169"/>
      <c r="AK97" s="168">
        <v>0</v>
      </c>
      <c r="AL97" s="156" t="s">
        <v>1259</v>
      </c>
      <c r="AM97" s="168">
        <v>0</v>
      </c>
      <c r="AN97" s="342" t="s">
        <v>897</v>
      </c>
      <c r="AO97" s="270"/>
      <c r="AP97" s="255"/>
      <c r="AQ97" s="255"/>
      <c r="AR97" s="379" t="s">
        <v>1349</v>
      </c>
      <c r="AS97" s="340" t="str">
        <f>IF($AK97&gt;=25%,"RESULTADOS FAVORABLES",IF($AK97&lt;12.5%,"ACCIÓN CORRECTIVA",IF($AK97&lt;24%,"OPORTUNIDAD DE MEJORA")))</f>
        <v>ACCIÓN CORRECTIVA</v>
      </c>
      <c r="AT97" s="30"/>
      <c r="AU97" s="30"/>
      <c r="AV97" s="1"/>
      <c r="AW97" s="31"/>
      <c r="AX97" s="31"/>
      <c r="AY97" s="31"/>
      <c r="AZ97" s="31"/>
      <c r="BA97" s="31"/>
      <c r="BB97" s="31"/>
      <c r="BC97" s="31"/>
      <c r="BD97" s="31"/>
      <c r="BE97" s="31"/>
      <c r="BF97" s="31"/>
      <c r="BG97" s="31"/>
      <c r="BH97" s="31"/>
    </row>
    <row r="98" spans="1:60" ht="90" customHeight="1" x14ac:dyDescent="0.2">
      <c r="A98" s="155" t="s">
        <v>954</v>
      </c>
      <c r="B98" s="214"/>
      <c r="C98" s="186" t="s">
        <v>1034</v>
      </c>
      <c r="D98" s="20"/>
      <c r="E98" s="86" t="s">
        <v>1051</v>
      </c>
      <c r="F98" s="126" t="s">
        <v>1250</v>
      </c>
      <c r="G98" s="109" t="s">
        <v>1260</v>
      </c>
      <c r="H98" s="156" t="s">
        <v>1261</v>
      </c>
      <c r="I98" s="158" t="s">
        <v>47</v>
      </c>
      <c r="J98" s="158" t="s">
        <v>1262</v>
      </c>
      <c r="K98" s="158" t="s">
        <v>1047</v>
      </c>
      <c r="L98" s="158" t="s">
        <v>156</v>
      </c>
      <c r="M98" s="158" t="s">
        <v>81</v>
      </c>
      <c r="N98" s="158" t="s">
        <v>81</v>
      </c>
      <c r="O98" s="216" t="s">
        <v>1258</v>
      </c>
      <c r="P98" s="156"/>
      <c r="Q98" s="216" t="s">
        <v>1258</v>
      </c>
      <c r="R98" s="156"/>
      <c r="S98" s="168">
        <v>0</v>
      </c>
      <c r="T98" s="156" t="s">
        <v>1259</v>
      </c>
      <c r="U98" s="216" t="s">
        <v>1258</v>
      </c>
      <c r="V98" s="169"/>
      <c r="W98" s="216" t="s">
        <v>1258</v>
      </c>
      <c r="X98" s="169"/>
      <c r="Y98" s="333">
        <v>0</v>
      </c>
      <c r="Z98" s="156" t="s">
        <v>1259</v>
      </c>
      <c r="AA98" s="216" t="s">
        <v>1258</v>
      </c>
      <c r="AB98" s="169"/>
      <c r="AC98" s="216" t="s">
        <v>1258</v>
      </c>
      <c r="AD98" s="169"/>
      <c r="AE98" s="216" t="s">
        <v>1258</v>
      </c>
      <c r="AF98" s="156" t="s">
        <v>1259</v>
      </c>
      <c r="AG98" s="216" t="s">
        <v>1258</v>
      </c>
      <c r="AH98" s="169"/>
      <c r="AI98" s="216" t="s">
        <v>1258</v>
      </c>
      <c r="AJ98" s="169"/>
      <c r="AK98" s="168">
        <v>0</v>
      </c>
      <c r="AL98" s="156" t="s">
        <v>1259</v>
      </c>
      <c r="AM98" s="168">
        <v>0</v>
      </c>
      <c r="AN98" s="342" t="s">
        <v>897</v>
      </c>
      <c r="AO98" s="270"/>
      <c r="AP98" s="255"/>
      <c r="AQ98" s="255"/>
      <c r="AR98" s="379" t="s">
        <v>1350</v>
      </c>
      <c r="AS98" s="340"/>
      <c r="AT98" s="30"/>
      <c r="AU98" s="30"/>
      <c r="AV98" s="1"/>
      <c r="AW98" s="31"/>
      <c r="AX98" s="31"/>
      <c r="AY98" s="31"/>
      <c r="AZ98" s="31"/>
      <c r="BA98" s="31"/>
      <c r="BB98" s="31"/>
      <c r="BC98" s="31"/>
      <c r="BD98" s="31"/>
      <c r="BE98" s="31"/>
      <c r="BF98" s="31"/>
      <c r="BG98" s="31"/>
      <c r="BH98" s="31"/>
    </row>
    <row r="99" spans="1:60" ht="120" x14ac:dyDescent="0.2">
      <c r="A99" s="83" t="s">
        <v>954</v>
      </c>
      <c r="B99" s="221"/>
      <c r="C99" s="85" t="s">
        <v>1034</v>
      </c>
      <c r="D99" s="86" t="s">
        <v>1254</v>
      </c>
      <c r="E99" s="86" t="s">
        <v>1059</v>
      </c>
      <c r="F99" s="126" t="s">
        <v>1251</v>
      </c>
      <c r="G99" s="109" t="s">
        <v>1061</v>
      </c>
      <c r="H99" s="156" t="s">
        <v>1062</v>
      </c>
      <c r="I99" s="158" t="s">
        <v>47</v>
      </c>
      <c r="J99" s="158" t="s">
        <v>1063</v>
      </c>
      <c r="K99" s="158" t="s">
        <v>1047</v>
      </c>
      <c r="L99" s="115" t="s">
        <v>1041</v>
      </c>
      <c r="M99" s="216" t="s">
        <v>749</v>
      </c>
      <c r="N99" s="216" t="s">
        <v>749</v>
      </c>
      <c r="O99" s="71">
        <v>0</v>
      </c>
      <c r="P99" s="204" t="s">
        <v>1048</v>
      </c>
      <c r="Q99" s="71">
        <v>0</v>
      </c>
      <c r="R99" s="204" t="s">
        <v>1048</v>
      </c>
      <c r="S99" s="71">
        <v>0</v>
      </c>
      <c r="T99" s="204" t="s">
        <v>1048</v>
      </c>
      <c r="U99" s="40">
        <v>0</v>
      </c>
      <c r="V99" s="169"/>
      <c r="W99" s="40">
        <v>0</v>
      </c>
      <c r="X99" s="169"/>
      <c r="Y99" s="221">
        <v>76</v>
      </c>
      <c r="Z99" s="169" t="s">
        <v>1064</v>
      </c>
      <c r="AA99" s="216" t="s">
        <v>1258</v>
      </c>
      <c r="AB99" s="204" t="s">
        <v>1048</v>
      </c>
      <c r="AC99" s="216" t="s">
        <v>1258</v>
      </c>
      <c r="AD99" s="204" t="s">
        <v>1048</v>
      </c>
      <c r="AE99" s="216" t="s">
        <v>1258</v>
      </c>
      <c r="AF99" s="204" t="s">
        <v>1048</v>
      </c>
      <c r="AG99" s="216" t="s">
        <v>1258</v>
      </c>
      <c r="AH99" s="204" t="s">
        <v>1048</v>
      </c>
      <c r="AI99" s="216" t="s">
        <v>1258</v>
      </c>
      <c r="AJ99" s="204" t="s">
        <v>1048</v>
      </c>
      <c r="AK99" s="221">
        <f>12+19+13+13+12+19</f>
        <v>88</v>
      </c>
      <c r="AL99" s="169" t="s">
        <v>1344</v>
      </c>
      <c r="AM99" s="168">
        <v>0</v>
      </c>
      <c r="AN99" s="342" t="s">
        <v>897</v>
      </c>
      <c r="AO99" s="270"/>
      <c r="AP99" s="255"/>
      <c r="AQ99" s="255"/>
      <c r="AR99" s="264" t="s">
        <v>1347</v>
      </c>
      <c r="AS99" s="340" t="s">
        <v>1314</v>
      </c>
      <c r="AT99" s="30">
        <f t="shared" si="20"/>
        <v>23.428571428571427</v>
      </c>
      <c r="AU99" s="30">
        <f t="shared" si="19"/>
        <v>82</v>
      </c>
      <c r="AV99" s="1"/>
      <c r="AW99" s="31">
        <f t="shared" si="21"/>
        <v>0</v>
      </c>
      <c r="AX99" s="31">
        <f t="shared" si="22"/>
        <v>0</v>
      </c>
      <c r="AY99" s="31">
        <f t="shared" si="23"/>
        <v>0</v>
      </c>
      <c r="AZ99" s="31">
        <f t="shared" si="24"/>
        <v>0</v>
      </c>
      <c r="BA99" s="31">
        <f t="shared" si="25"/>
        <v>0</v>
      </c>
      <c r="BB99" s="31">
        <f t="shared" si="26"/>
        <v>76</v>
      </c>
      <c r="BC99" s="31" t="str">
        <f t="shared" si="27"/>
        <v>No se reporta</v>
      </c>
      <c r="BD99" s="31" t="str">
        <f t="shared" si="28"/>
        <v>No se reporta</v>
      </c>
      <c r="BE99" s="31" t="str">
        <f t="shared" si="29"/>
        <v>No se reporta</v>
      </c>
      <c r="BF99" s="31" t="str">
        <f t="shared" si="30"/>
        <v>No se reporta</v>
      </c>
      <c r="BG99" s="31" t="str">
        <f t="shared" si="31"/>
        <v>No se reporta</v>
      </c>
      <c r="BH99" s="31">
        <f t="shared" si="32"/>
        <v>88</v>
      </c>
    </row>
    <row r="100" spans="1:60" ht="135" x14ac:dyDescent="0.2">
      <c r="A100" s="155" t="s">
        <v>954</v>
      </c>
      <c r="B100" s="222"/>
      <c r="C100" s="186" t="s">
        <v>1034</v>
      </c>
      <c r="D100" s="20" t="s">
        <v>1058</v>
      </c>
      <c r="E100" s="86" t="s">
        <v>1065</v>
      </c>
      <c r="F100" s="126" t="s">
        <v>1060</v>
      </c>
      <c r="G100" s="109" t="s">
        <v>1066</v>
      </c>
      <c r="H100" s="190" t="s">
        <v>1067</v>
      </c>
      <c r="I100" s="188" t="s">
        <v>47</v>
      </c>
      <c r="J100" s="188" t="s">
        <v>1068</v>
      </c>
      <c r="K100" s="216" t="s">
        <v>385</v>
      </c>
      <c r="L100" s="115" t="s">
        <v>1041</v>
      </c>
      <c r="M100" s="216" t="s">
        <v>749</v>
      </c>
      <c r="N100" s="216" t="s">
        <v>749</v>
      </c>
      <c r="O100" s="71">
        <v>0</v>
      </c>
      <c r="P100" s="204" t="s">
        <v>1048</v>
      </c>
      <c r="Q100" s="71">
        <v>0</v>
      </c>
      <c r="R100" s="204" t="s">
        <v>1048</v>
      </c>
      <c r="S100" s="71">
        <v>0</v>
      </c>
      <c r="T100" s="204" t="s">
        <v>1048</v>
      </c>
      <c r="U100" s="40">
        <v>0</v>
      </c>
      <c r="V100" s="169"/>
      <c r="W100" s="40">
        <v>0</v>
      </c>
      <c r="X100" s="169"/>
      <c r="Y100" s="223">
        <v>0.74117647058823533</v>
      </c>
      <c r="Z100" s="169" t="s">
        <v>1069</v>
      </c>
      <c r="AA100" s="219"/>
      <c r="AB100" s="219"/>
      <c r="AC100" s="219"/>
      <c r="AD100" s="219"/>
      <c r="AE100" s="219"/>
      <c r="AF100" s="219"/>
      <c r="AG100" s="219"/>
      <c r="AH100" s="219"/>
      <c r="AI100" s="219"/>
      <c r="AJ100" s="219"/>
      <c r="AK100" s="223">
        <v>0.78</v>
      </c>
      <c r="AL100" s="156" t="s">
        <v>1345</v>
      </c>
      <c r="AM100" s="217">
        <v>0</v>
      </c>
      <c r="AN100" s="115" t="s">
        <v>897</v>
      </c>
      <c r="AO100" s="255"/>
      <c r="AP100" s="255"/>
      <c r="AQ100" s="269"/>
      <c r="AR100" s="267" t="s">
        <v>1153</v>
      </c>
      <c r="AS100" s="340" t="str">
        <f>IF($AK100&gt;=25%,"RESULTADOS FAVORABLES",IF($AK100&lt;12.5%,"ACCIÓN CORRECTIVA",IF($AK100&lt;24%,"OPORTUNIDAD DE MEJORA")))</f>
        <v>RESULTADOS FAVORABLES</v>
      </c>
      <c r="AT100" s="30">
        <f t="shared" si="20"/>
        <v>0.21731092436974792</v>
      </c>
      <c r="AU100" s="30">
        <f t="shared" si="19"/>
        <v>0.76058823529411768</v>
      </c>
      <c r="AV100" s="1"/>
      <c r="AW100" s="31">
        <f t="shared" si="21"/>
        <v>0</v>
      </c>
      <c r="AX100" s="31">
        <f t="shared" si="22"/>
        <v>0</v>
      </c>
      <c r="AY100" s="31">
        <f t="shared" si="23"/>
        <v>0</v>
      </c>
      <c r="AZ100" s="31">
        <f t="shared" si="24"/>
        <v>0</v>
      </c>
      <c r="BA100" s="31">
        <f t="shared" si="25"/>
        <v>0</v>
      </c>
      <c r="BB100" s="31">
        <f t="shared" si="26"/>
        <v>0.74117647058823533</v>
      </c>
      <c r="BC100" s="31">
        <f t="shared" si="27"/>
        <v>0</v>
      </c>
      <c r="BD100" s="31">
        <f t="shared" si="28"/>
        <v>0</v>
      </c>
      <c r="BE100" s="31">
        <f t="shared" si="29"/>
        <v>0</v>
      </c>
      <c r="BF100" s="31">
        <f t="shared" si="30"/>
        <v>0</v>
      </c>
      <c r="BG100" s="31">
        <f t="shared" si="31"/>
        <v>0</v>
      </c>
      <c r="BH100" s="31">
        <f t="shared" si="32"/>
        <v>0.78</v>
      </c>
    </row>
    <row r="101" spans="1:60" ht="150" x14ac:dyDescent="0.2">
      <c r="A101" s="155" t="s">
        <v>954</v>
      </c>
      <c r="B101" s="222"/>
      <c r="C101" s="186" t="s">
        <v>1034</v>
      </c>
      <c r="D101" s="20"/>
      <c r="E101" s="86" t="s">
        <v>1070</v>
      </c>
      <c r="F101" s="126" t="s">
        <v>1252</v>
      </c>
      <c r="G101" s="109" t="s">
        <v>1071</v>
      </c>
      <c r="H101" s="190" t="s">
        <v>1072</v>
      </c>
      <c r="I101" s="188" t="s">
        <v>62</v>
      </c>
      <c r="J101" s="188" t="s">
        <v>1073</v>
      </c>
      <c r="K101" s="216" t="s">
        <v>385</v>
      </c>
      <c r="L101" s="115" t="s">
        <v>1041</v>
      </c>
      <c r="M101" s="216" t="s">
        <v>749</v>
      </c>
      <c r="N101" s="216" t="s">
        <v>749</v>
      </c>
      <c r="O101" s="71">
        <v>0</v>
      </c>
      <c r="P101" s="204" t="s">
        <v>1048</v>
      </c>
      <c r="Q101" s="71">
        <v>0</v>
      </c>
      <c r="R101" s="204" t="s">
        <v>1048</v>
      </c>
      <c r="S101" s="71">
        <v>0</v>
      </c>
      <c r="T101" s="204" t="s">
        <v>1048</v>
      </c>
      <c r="U101" s="40">
        <v>0</v>
      </c>
      <c r="V101" s="156"/>
      <c r="W101" s="40">
        <v>0</v>
      </c>
      <c r="X101" s="156"/>
      <c r="Y101" s="71">
        <v>0.9375</v>
      </c>
      <c r="Z101" s="169" t="s">
        <v>1074</v>
      </c>
      <c r="AA101" s="190"/>
      <c r="AB101" s="190"/>
      <c r="AC101" s="190"/>
      <c r="AD101" s="190"/>
      <c r="AE101" s="190"/>
      <c r="AF101" s="190"/>
      <c r="AG101" s="190"/>
      <c r="AH101" s="190"/>
      <c r="AI101" s="190"/>
      <c r="AJ101" s="190"/>
      <c r="AK101" s="71">
        <v>0.94</v>
      </c>
      <c r="AL101" s="156" t="s">
        <v>1346</v>
      </c>
      <c r="AM101" s="217">
        <v>0</v>
      </c>
      <c r="AN101" s="115" t="s">
        <v>897</v>
      </c>
      <c r="AO101" s="255"/>
      <c r="AP101" s="255"/>
      <c r="AQ101" s="269"/>
      <c r="AR101" s="267" t="s">
        <v>1153</v>
      </c>
      <c r="AS101" s="340" t="str">
        <f>IF($AK101&gt;=25%,"RESULTADOS FAVORABLES",IF($AK101&lt;12.5%,"ACCIÓN CORRECTIVA",IF($AK101&lt;24%,"OPORTUNIDAD DE MEJORA")))</f>
        <v>RESULTADOS FAVORABLES</v>
      </c>
      <c r="AT101" s="30">
        <f t="shared" si="20"/>
        <v>0.26821428571428568</v>
      </c>
      <c r="AU101" s="30">
        <f t="shared" si="19"/>
        <v>0.93874999999999997</v>
      </c>
      <c r="AV101" s="1"/>
      <c r="AW101" s="31">
        <f t="shared" si="21"/>
        <v>0</v>
      </c>
      <c r="AX101" s="31">
        <f t="shared" si="22"/>
        <v>0</v>
      </c>
      <c r="AY101" s="31">
        <f t="shared" si="23"/>
        <v>0</v>
      </c>
      <c r="AZ101" s="31">
        <f t="shared" si="24"/>
        <v>0</v>
      </c>
      <c r="BA101" s="31">
        <f t="shared" si="25"/>
        <v>0</v>
      </c>
      <c r="BB101" s="31">
        <f t="shared" si="26"/>
        <v>0.9375</v>
      </c>
      <c r="BC101" s="31">
        <f t="shared" si="27"/>
        <v>0</v>
      </c>
      <c r="BD101" s="31">
        <f t="shared" si="28"/>
        <v>0</v>
      </c>
      <c r="BE101" s="31">
        <f t="shared" si="29"/>
        <v>0</v>
      </c>
      <c r="BF101" s="31">
        <f t="shared" si="30"/>
        <v>0</v>
      </c>
      <c r="BG101" s="31">
        <f t="shared" si="31"/>
        <v>0</v>
      </c>
      <c r="BH101" s="31">
        <f t="shared" si="32"/>
        <v>0.94</v>
      </c>
    </row>
    <row r="102" spans="1:60" ht="135" x14ac:dyDescent="0.2">
      <c r="A102" s="155" t="s">
        <v>954</v>
      </c>
      <c r="B102" s="45" t="s">
        <v>1075</v>
      </c>
      <c r="C102" s="186" t="s">
        <v>1076</v>
      </c>
      <c r="D102" s="20" t="s">
        <v>1077</v>
      </c>
      <c r="E102" s="20" t="s">
        <v>1078</v>
      </c>
      <c r="F102" s="187" t="s">
        <v>1079</v>
      </c>
      <c r="G102" s="42" t="s">
        <v>1080</v>
      </c>
      <c r="H102" s="42" t="s">
        <v>1081</v>
      </c>
      <c r="I102" s="23" t="s">
        <v>47</v>
      </c>
      <c r="J102" s="23" t="s">
        <v>1082</v>
      </c>
      <c r="K102" s="23" t="s">
        <v>49</v>
      </c>
      <c r="L102" s="23" t="s">
        <v>1083</v>
      </c>
      <c r="M102" s="24" t="s">
        <v>51</v>
      </c>
      <c r="N102" s="24" t="s">
        <v>51</v>
      </c>
      <c r="O102" s="224">
        <f>+'[2]INDICADORES CECO'!$E$10</f>
        <v>7.8199765175772148E-3</v>
      </c>
      <c r="P102" s="42" t="s">
        <v>1084</v>
      </c>
      <c r="Q102" s="224">
        <f>+'[2]INDICADORES CECO'!$G$10</f>
        <v>1.3998372658984548E-2</v>
      </c>
      <c r="R102" s="42" t="s">
        <v>1085</v>
      </c>
      <c r="S102" s="224">
        <f>+'[2]INDICADORES CECO'!$I$10</f>
        <v>6.8133628944793689E-3</v>
      </c>
      <c r="T102" s="42" t="s">
        <v>1086</v>
      </c>
      <c r="U102" s="39">
        <f>+'[3]INDICADORES CECO 2DO TRIM'!$D$29</f>
        <v>2.7605380571081584E-2</v>
      </c>
      <c r="V102" s="309" t="s">
        <v>1087</v>
      </c>
      <c r="W102" s="39">
        <f>+'[3]INDICADORES CECO 2DO TRIM'!$F$29</f>
        <v>1.3510801883605686E-2</v>
      </c>
      <c r="X102" s="309" t="s">
        <v>1088</v>
      </c>
      <c r="Y102" s="39">
        <f>+'[3]INDICADORES CECO 2DO TRIM'!$H$29</f>
        <v>2.0143693379182904E-3</v>
      </c>
      <c r="Z102" s="309" t="s">
        <v>1089</v>
      </c>
      <c r="AA102" s="41"/>
      <c r="AB102" s="82"/>
      <c r="AC102" s="41"/>
      <c r="AD102" s="82"/>
      <c r="AE102" s="41"/>
      <c r="AF102" s="82"/>
      <c r="AG102" s="41"/>
      <c r="AH102" s="82"/>
      <c r="AI102" s="41"/>
      <c r="AJ102" s="82"/>
      <c r="AK102" s="41"/>
      <c r="AL102" s="82"/>
      <c r="AM102" s="24" t="s">
        <v>75</v>
      </c>
      <c r="AN102" s="24" t="s">
        <v>58</v>
      </c>
      <c r="AO102" s="270"/>
      <c r="AP102" s="255"/>
      <c r="AQ102" s="255"/>
      <c r="AR102" s="338" t="s">
        <v>1341</v>
      </c>
      <c r="AS102" s="340" t="str">
        <f>IF($AK102&gt;=25%,"RESULTADOS FAVORABLES",IF($AK102&lt;12.5%,"ACCIÓN CORRECTIVA",IF($AK102&lt;24%,"OPORTUNIDAD DE MEJORA")))</f>
        <v>ACCIÓN CORRECTIVA</v>
      </c>
      <c r="AT102" s="30">
        <f t="shared" si="20"/>
        <v>1.1960377310607784E-2</v>
      </c>
      <c r="AU102" s="30">
        <f t="shared" si="19"/>
        <v>1.2788457469213897E-2</v>
      </c>
      <c r="AV102" s="1"/>
      <c r="AW102" s="31">
        <f t="shared" si="21"/>
        <v>7.8199765175772148E-3</v>
      </c>
      <c r="AX102" s="31">
        <f t="shared" si="22"/>
        <v>1.3998372658984548E-2</v>
      </c>
      <c r="AY102" s="31">
        <f t="shared" si="23"/>
        <v>6.8133628944793689E-3</v>
      </c>
      <c r="AZ102" s="31">
        <f t="shared" si="24"/>
        <v>2.7605380571081584E-2</v>
      </c>
      <c r="BA102" s="31">
        <f t="shared" si="25"/>
        <v>1.3510801883605686E-2</v>
      </c>
      <c r="BB102" s="31">
        <f t="shared" si="26"/>
        <v>2.0143693379182904E-3</v>
      </c>
      <c r="BC102" s="31">
        <f t="shared" si="27"/>
        <v>0</v>
      </c>
      <c r="BD102" s="31">
        <f t="shared" si="28"/>
        <v>0</v>
      </c>
      <c r="BE102" s="31">
        <f t="shared" si="29"/>
        <v>0</v>
      </c>
      <c r="BF102" s="31">
        <f t="shared" si="30"/>
        <v>0</v>
      </c>
      <c r="BG102" s="31">
        <f t="shared" si="31"/>
        <v>0</v>
      </c>
      <c r="BH102" s="31">
        <f t="shared" si="32"/>
        <v>0</v>
      </c>
    </row>
    <row r="103" spans="1:60" ht="210" x14ac:dyDescent="0.2">
      <c r="A103" s="155" t="s">
        <v>954</v>
      </c>
      <c r="B103" s="408"/>
      <c r="C103" s="186" t="s">
        <v>1076</v>
      </c>
      <c r="D103" s="20"/>
      <c r="E103" s="20" t="s">
        <v>1078</v>
      </c>
      <c r="F103" s="187" t="s">
        <v>1090</v>
      </c>
      <c r="G103" s="37" t="s">
        <v>1091</v>
      </c>
      <c r="H103" s="190" t="s">
        <v>1092</v>
      </c>
      <c r="I103" s="225" t="s">
        <v>62</v>
      </c>
      <c r="J103" s="214" t="s">
        <v>1093</v>
      </c>
      <c r="K103" s="23" t="s">
        <v>49</v>
      </c>
      <c r="L103" s="188" t="s">
        <v>1083</v>
      </c>
      <c r="M103" s="24" t="s">
        <v>827</v>
      </c>
      <c r="N103" s="24" t="s">
        <v>827</v>
      </c>
      <c r="O103" s="71">
        <v>0</v>
      </c>
      <c r="P103" s="302" t="s">
        <v>96</v>
      </c>
      <c r="Q103" s="71">
        <v>0</v>
      </c>
      <c r="R103" s="302" t="s">
        <v>96</v>
      </c>
      <c r="S103" s="71">
        <v>0</v>
      </c>
      <c r="T103" s="302" t="s">
        <v>96</v>
      </c>
      <c r="U103" s="40">
        <v>0</v>
      </c>
      <c r="V103" s="310" t="s">
        <v>96</v>
      </c>
      <c r="W103" s="40">
        <v>0</v>
      </c>
      <c r="X103" s="310" t="s">
        <v>96</v>
      </c>
      <c r="Y103" s="217">
        <f>1/3</f>
        <v>0.33333333333333331</v>
      </c>
      <c r="Z103" s="222" t="s">
        <v>1094</v>
      </c>
      <c r="AA103" s="227"/>
      <c r="AB103" s="310"/>
      <c r="AC103" s="227"/>
      <c r="AD103" s="310"/>
      <c r="AE103" s="227"/>
      <c r="AF103" s="310"/>
      <c r="AG103" s="227"/>
      <c r="AH103" s="310"/>
      <c r="AI103" s="227"/>
      <c r="AJ103" s="310"/>
      <c r="AK103" s="380">
        <f>(4/4)</f>
        <v>1</v>
      </c>
      <c r="AL103" s="226" t="s">
        <v>1351</v>
      </c>
      <c r="AM103" s="35">
        <v>0</v>
      </c>
      <c r="AN103" s="35">
        <v>1</v>
      </c>
      <c r="AO103" s="255"/>
      <c r="AP103" s="255"/>
      <c r="AQ103" s="269"/>
      <c r="AR103" s="267" t="s">
        <v>1153</v>
      </c>
      <c r="AS103" s="340" t="str">
        <f>IF($AK103&gt;=25%,"RESULTADOS FAVORABLES",IF($AK103&lt;12.5%,"ACCIÓN CORRECTIVA",IF($AK103&lt;24%,"OPORTUNIDAD DE MEJORA")))</f>
        <v>RESULTADOS FAVORABLES</v>
      </c>
      <c r="AT103" s="30">
        <f t="shared" si="20"/>
        <v>0.19047619047619047</v>
      </c>
      <c r="AU103" s="30">
        <f t="shared" si="19"/>
        <v>0.66666666666666663</v>
      </c>
      <c r="AV103" s="1"/>
      <c r="AW103" s="31">
        <f t="shared" si="21"/>
        <v>0</v>
      </c>
      <c r="AX103" s="31">
        <f t="shared" si="22"/>
        <v>0</v>
      </c>
      <c r="AY103" s="31">
        <f t="shared" si="23"/>
        <v>0</v>
      </c>
      <c r="AZ103" s="31">
        <f t="shared" si="24"/>
        <v>0</v>
      </c>
      <c r="BA103" s="31">
        <f t="shared" si="25"/>
        <v>0</v>
      </c>
      <c r="BB103" s="31">
        <f t="shared" si="26"/>
        <v>0.33333333333333331</v>
      </c>
      <c r="BC103" s="31">
        <f t="shared" si="27"/>
        <v>0</v>
      </c>
      <c r="BD103" s="31">
        <f t="shared" si="28"/>
        <v>0</v>
      </c>
      <c r="BE103" s="31">
        <f t="shared" si="29"/>
        <v>0</v>
      </c>
      <c r="BF103" s="31">
        <f t="shared" si="30"/>
        <v>0</v>
      </c>
      <c r="BG103" s="31">
        <f t="shared" si="31"/>
        <v>0</v>
      </c>
      <c r="BH103" s="31">
        <f t="shared" si="32"/>
        <v>1</v>
      </c>
    </row>
    <row r="104" spans="1:60" ht="135.75" customHeight="1" x14ac:dyDescent="0.2">
      <c r="A104" s="155" t="s">
        <v>954</v>
      </c>
      <c r="B104" s="408"/>
      <c r="C104" s="186" t="s">
        <v>1076</v>
      </c>
      <c r="D104" s="20"/>
      <c r="E104" s="20" t="s">
        <v>1078</v>
      </c>
      <c r="F104" s="187" t="s">
        <v>1095</v>
      </c>
      <c r="G104" s="37" t="s">
        <v>1096</v>
      </c>
      <c r="H104" s="190" t="s">
        <v>1097</v>
      </c>
      <c r="I104" s="225" t="s">
        <v>62</v>
      </c>
      <c r="J104" s="214" t="s">
        <v>1098</v>
      </c>
      <c r="K104" s="23" t="s">
        <v>49</v>
      </c>
      <c r="L104" s="188" t="s">
        <v>1083</v>
      </c>
      <c r="M104" s="24" t="s">
        <v>827</v>
      </c>
      <c r="N104" s="24" t="s">
        <v>827</v>
      </c>
      <c r="O104" s="71">
        <v>0</v>
      </c>
      <c r="P104" s="302" t="s">
        <v>96</v>
      </c>
      <c r="Q104" s="71">
        <v>0</v>
      </c>
      <c r="R104" s="302" t="s">
        <v>96</v>
      </c>
      <c r="S104" s="71">
        <v>0</v>
      </c>
      <c r="T104" s="302" t="s">
        <v>96</v>
      </c>
      <c r="U104" s="40">
        <v>0</v>
      </c>
      <c r="V104" s="310" t="s">
        <v>96</v>
      </c>
      <c r="W104" s="40">
        <v>0</v>
      </c>
      <c r="X104" s="310" t="s">
        <v>96</v>
      </c>
      <c r="Y104" s="327">
        <f>(21/21)</f>
        <v>1</v>
      </c>
      <c r="Z104" s="222" t="s">
        <v>1099</v>
      </c>
      <c r="AA104" s="227"/>
      <c r="AB104" s="310"/>
      <c r="AC104" s="227"/>
      <c r="AD104" s="310"/>
      <c r="AE104" s="227"/>
      <c r="AF104" s="310"/>
      <c r="AG104" s="227"/>
      <c r="AH104" s="310"/>
      <c r="AI104" s="227"/>
      <c r="AJ104" s="310"/>
      <c r="AK104" s="327">
        <f>(26/26)</f>
        <v>1</v>
      </c>
      <c r="AL104" s="214" t="s">
        <v>1352</v>
      </c>
      <c r="AM104" s="29" t="s">
        <v>75</v>
      </c>
      <c r="AN104" s="35">
        <v>1</v>
      </c>
      <c r="AO104" s="255"/>
      <c r="AP104" s="255"/>
      <c r="AQ104" s="269"/>
      <c r="AR104" s="267" t="s">
        <v>1153</v>
      </c>
      <c r="AS104" s="340" t="str">
        <f>IF($AK104&gt;=25%,"RESULTADOS FAVORABLES",IF($AK104&lt;12.5%,"ACCIÓN CORRECTIVA",IF($AK104&lt;24%,"OPORTUNIDAD DE MEJORA")))</f>
        <v>RESULTADOS FAVORABLES</v>
      </c>
      <c r="AT104" s="30">
        <f t="shared" si="20"/>
        <v>0.2857142857142857</v>
      </c>
      <c r="AU104" s="30">
        <f t="shared" si="19"/>
        <v>1</v>
      </c>
      <c r="AV104" s="1"/>
      <c r="AW104" s="31">
        <f t="shared" si="21"/>
        <v>0</v>
      </c>
      <c r="AX104" s="31">
        <f t="shared" si="22"/>
        <v>0</v>
      </c>
      <c r="AY104" s="31">
        <f t="shared" si="23"/>
        <v>0</v>
      </c>
      <c r="AZ104" s="31">
        <f t="shared" si="24"/>
        <v>0</v>
      </c>
      <c r="BA104" s="31">
        <f t="shared" si="25"/>
        <v>0</v>
      </c>
      <c r="BB104" s="31">
        <f t="shared" si="26"/>
        <v>1</v>
      </c>
      <c r="BC104" s="31">
        <f t="shared" si="27"/>
        <v>0</v>
      </c>
      <c r="BD104" s="31">
        <f t="shared" si="28"/>
        <v>0</v>
      </c>
      <c r="BE104" s="31">
        <f t="shared" si="29"/>
        <v>0</v>
      </c>
      <c r="BF104" s="31">
        <f t="shared" si="30"/>
        <v>0</v>
      </c>
      <c r="BG104" s="31">
        <f t="shared" si="31"/>
        <v>0</v>
      </c>
      <c r="BH104" s="31">
        <f t="shared" si="32"/>
        <v>1</v>
      </c>
    </row>
    <row r="105" spans="1:60" ht="152.25" customHeight="1" x14ac:dyDescent="0.2">
      <c r="A105" s="155" t="s">
        <v>954</v>
      </c>
      <c r="B105" s="408"/>
      <c r="C105" s="186" t="s">
        <v>1076</v>
      </c>
      <c r="D105" s="20"/>
      <c r="E105" s="20" t="s">
        <v>1078</v>
      </c>
      <c r="F105" s="187" t="s">
        <v>1100</v>
      </c>
      <c r="G105" s="222" t="s">
        <v>1101</v>
      </c>
      <c r="H105" s="190" t="s">
        <v>1102</v>
      </c>
      <c r="I105" s="225" t="s">
        <v>62</v>
      </c>
      <c r="J105" s="214" t="s">
        <v>1103</v>
      </c>
      <c r="K105" s="23" t="s">
        <v>49</v>
      </c>
      <c r="L105" s="188" t="s">
        <v>1083</v>
      </c>
      <c r="M105" s="24" t="s">
        <v>827</v>
      </c>
      <c r="N105" s="24" t="s">
        <v>827</v>
      </c>
      <c r="O105" s="71">
        <v>0</v>
      </c>
      <c r="P105" s="302" t="s">
        <v>96</v>
      </c>
      <c r="Q105" s="71">
        <v>0</v>
      </c>
      <c r="R105" s="302" t="s">
        <v>96</v>
      </c>
      <c r="S105" s="71">
        <v>0</v>
      </c>
      <c r="T105" s="302" t="s">
        <v>96</v>
      </c>
      <c r="U105" s="40">
        <v>0</v>
      </c>
      <c r="V105" s="310" t="s">
        <v>96</v>
      </c>
      <c r="W105" s="40">
        <v>0</v>
      </c>
      <c r="X105" s="310" t="s">
        <v>96</v>
      </c>
      <c r="Y105" s="327">
        <f>(3/3)</f>
        <v>1</v>
      </c>
      <c r="Z105" s="222" t="s">
        <v>1104</v>
      </c>
      <c r="AA105" s="227"/>
      <c r="AB105" s="310"/>
      <c r="AC105" s="227"/>
      <c r="AD105" s="310"/>
      <c r="AE105" s="227"/>
      <c r="AF105" s="310"/>
      <c r="AG105" s="227"/>
      <c r="AH105" s="310"/>
      <c r="AI105" s="227"/>
      <c r="AJ105" s="310"/>
      <c r="AK105" s="227"/>
      <c r="AL105" s="310"/>
      <c r="AM105" s="35">
        <v>0</v>
      </c>
      <c r="AN105" s="35">
        <v>1</v>
      </c>
      <c r="AO105" s="270"/>
      <c r="AP105" s="255"/>
      <c r="AQ105" s="255"/>
      <c r="AR105" s="338" t="s">
        <v>1357</v>
      </c>
      <c r="AS105" s="340" t="str">
        <f t="shared" ref="AS105" si="36">IF($AE105&gt;=25%,"RESULTADOS FAVORABLES",IF($AE105&lt;12.5%,"ACCIÓN CORRECTIVA",IF($AE105&lt;24%,"OPORTUNIDAD DE MEJORA")))</f>
        <v>ACCIÓN CORRECTIVA</v>
      </c>
      <c r="AT105" s="30">
        <f t="shared" si="20"/>
        <v>0.16666666666666666</v>
      </c>
      <c r="AU105" s="30">
        <f t="shared" si="19"/>
        <v>0</v>
      </c>
    </row>
    <row r="106" spans="1:60" ht="28.5" customHeight="1" x14ac:dyDescent="0.2">
      <c r="A106" s="228"/>
      <c r="B106" s="229"/>
      <c r="C106" s="230"/>
      <c r="D106" s="231"/>
      <c r="E106" s="231"/>
      <c r="F106" s="232"/>
      <c r="G106" s="295"/>
      <c r="H106" s="233"/>
      <c r="I106" s="234"/>
      <c r="J106" s="235"/>
      <c r="K106" s="236"/>
      <c r="L106" s="237"/>
      <c r="M106" s="238"/>
      <c r="N106" s="238"/>
      <c r="O106" s="239"/>
      <c r="P106" s="328"/>
      <c r="Q106" s="239"/>
      <c r="R106" s="240"/>
      <c r="S106" s="239"/>
      <c r="T106" s="304"/>
      <c r="U106" s="232"/>
      <c r="V106" s="304"/>
      <c r="W106" s="241"/>
      <c r="X106" s="304"/>
      <c r="Y106" s="241"/>
      <c r="Z106" s="304"/>
      <c r="AA106" s="241"/>
      <c r="AB106" s="304"/>
      <c r="AC106" s="241"/>
      <c r="AD106" s="304"/>
      <c r="AE106" s="241"/>
      <c r="AF106" s="304"/>
      <c r="AG106" s="241"/>
      <c r="AH106" s="304"/>
      <c r="AI106" s="241"/>
      <c r="AJ106" s="304"/>
      <c r="AK106" s="241"/>
      <c r="AL106" s="304"/>
      <c r="AM106" s="241"/>
      <c r="AN106" s="241"/>
      <c r="AO106" s="241"/>
      <c r="AP106" s="241"/>
      <c r="AQ106" s="241"/>
      <c r="AR106" s="242"/>
      <c r="AS106" s="341"/>
    </row>
    <row r="107" spans="1:60" ht="15.75" customHeight="1" x14ac:dyDescent="0.2">
      <c r="A107" s="243"/>
      <c r="B107" s="244"/>
      <c r="C107" s="245"/>
      <c r="D107" s="1"/>
      <c r="E107" s="290"/>
      <c r="F107" s="1"/>
      <c r="L107" s="246"/>
      <c r="W107" s="1"/>
      <c r="Y107" s="1"/>
      <c r="AA107" s="1"/>
      <c r="AC107" s="1"/>
      <c r="AE107" s="1"/>
      <c r="AG107" s="1"/>
      <c r="AI107" s="1"/>
      <c r="AK107" s="1"/>
      <c r="AM107" s="1"/>
      <c r="AN107" s="1"/>
      <c r="AO107" s="1"/>
      <c r="AP107" s="1"/>
      <c r="AQ107" s="1"/>
      <c r="AR107" s="1"/>
    </row>
    <row r="108" spans="1:60" ht="15.75" customHeight="1" x14ac:dyDescent="0.2">
      <c r="A108" s="245"/>
      <c r="B108" s="244"/>
      <c r="C108" s="245"/>
      <c r="D108" s="1"/>
      <c r="E108" s="290"/>
      <c r="F108" s="1"/>
      <c r="L108" s="246"/>
      <c r="W108" s="1"/>
      <c r="Y108" s="1"/>
      <c r="AA108" s="1"/>
      <c r="AC108" s="1"/>
      <c r="AE108" s="1"/>
      <c r="AG108" s="1"/>
      <c r="AI108" s="1"/>
      <c r="AK108" s="1"/>
      <c r="AM108" s="1"/>
      <c r="AN108" s="1"/>
      <c r="AO108" s="1"/>
      <c r="AP108" s="1"/>
      <c r="AQ108" s="1"/>
      <c r="AR108" s="1"/>
      <c r="AT108" s="1"/>
      <c r="AU108" s="1"/>
      <c r="AV108" s="1"/>
      <c r="AW108" s="1"/>
      <c r="AX108" s="1"/>
      <c r="AY108" s="1"/>
    </row>
    <row r="109" spans="1:60" ht="15.75" customHeight="1" x14ac:dyDescent="0.2">
      <c r="A109" s="245"/>
      <c r="B109" s="244"/>
      <c r="C109" s="245"/>
      <c r="D109" s="1"/>
      <c r="E109" s="290"/>
      <c r="F109" s="1"/>
      <c r="L109" s="246"/>
      <c r="W109" s="1"/>
      <c r="Y109" s="1"/>
      <c r="AA109" s="1"/>
      <c r="AC109" s="1"/>
      <c r="AE109" s="1"/>
      <c r="AG109" s="1"/>
      <c r="AI109" s="1"/>
      <c r="AK109" s="1"/>
      <c r="AM109" s="277"/>
      <c r="AO109" s="1"/>
      <c r="AP109" s="1"/>
      <c r="AQ109" s="1"/>
      <c r="AR109" s="1"/>
      <c r="AT109" s="1"/>
      <c r="AU109" s="1"/>
      <c r="AV109" s="1"/>
      <c r="AW109" s="1"/>
      <c r="AX109" s="1"/>
      <c r="AY109" s="1"/>
    </row>
    <row r="110" spans="1:60" ht="15.75" customHeight="1" x14ac:dyDescent="0.2">
      <c r="A110" s="245"/>
      <c r="B110" s="244"/>
      <c r="C110" s="245"/>
      <c r="D110" s="1"/>
      <c r="E110" s="290"/>
      <c r="F110" s="1"/>
      <c r="L110" s="246"/>
      <c r="W110" s="1"/>
      <c r="Y110" s="1"/>
      <c r="AA110" s="1"/>
      <c r="AC110" s="1"/>
      <c r="AE110" s="1"/>
      <c r="AG110" s="1"/>
      <c r="AI110" s="1"/>
      <c r="AK110" s="1"/>
      <c r="AO110" s="1"/>
      <c r="AP110" s="1"/>
      <c r="AQ110" s="1"/>
      <c r="AR110" s="1"/>
      <c r="AT110" s="1"/>
      <c r="AU110" s="1"/>
      <c r="AV110" s="1"/>
      <c r="AW110" s="1"/>
      <c r="AX110" s="1"/>
      <c r="AY110" s="1"/>
    </row>
    <row r="111" spans="1:60" ht="15.75" customHeight="1" x14ac:dyDescent="0.2">
      <c r="A111" s="245"/>
      <c r="B111" s="244"/>
      <c r="C111" s="245"/>
      <c r="D111" s="1"/>
      <c r="E111" s="290"/>
      <c r="F111" s="1"/>
      <c r="L111" s="246"/>
      <c r="W111" s="1"/>
      <c r="Y111" s="1"/>
      <c r="AA111" s="1"/>
      <c r="AC111" s="1"/>
      <c r="AE111" s="1"/>
      <c r="AG111" s="1"/>
      <c r="AI111" s="1"/>
      <c r="AK111" s="1"/>
      <c r="AO111" s="1"/>
      <c r="AP111" s="1"/>
      <c r="AQ111" s="1"/>
      <c r="AR111" s="1"/>
      <c r="AT111" s="1"/>
      <c r="AU111" s="1"/>
      <c r="AV111" s="1"/>
      <c r="AW111" s="1"/>
      <c r="AX111" s="1"/>
      <c r="AY111" s="1"/>
    </row>
    <row r="112" spans="1:60" ht="15.75" customHeight="1" x14ac:dyDescent="0.25">
      <c r="A112" s="245"/>
      <c r="B112" s="244"/>
      <c r="C112" s="245"/>
      <c r="D112" s="1"/>
      <c r="E112" s="290"/>
      <c r="F112" s="1"/>
      <c r="G112" s="384"/>
      <c r="H112" s="384"/>
      <c r="I112" s="384"/>
      <c r="L112" s="246"/>
      <c r="W112" s="1"/>
      <c r="Y112" s="1"/>
      <c r="AA112" s="1"/>
      <c r="AC112" s="1"/>
      <c r="AE112" s="1"/>
      <c r="AG112" s="1"/>
      <c r="AI112" s="1"/>
      <c r="AK112" s="1"/>
      <c r="AO112" s="1"/>
      <c r="AP112" s="1"/>
      <c r="AQ112" s="1"/>
      <c r="AR112" s="1"/>
      <c r="AT112" s="1"/>
      <c r="AU112" s="1"/>
      <c r="AV112" s="1"/>
      <c r="AW112" s="1"/>
      <c r="AX112" s="1"/>
      <c r="AY112" s="1"/>
    </row>
    <row r="113" spans="1:51" ht="15.75" customHeight="1" x14ac:dyDescent="0.2">
      <c r="A113" s="245"/>
      <c r="B113" s="244"/>
      <c r="C113" s="245"/>
      <c r="D113" s="1"/>
      <c r="E113" s="290"/>
      <c r="F113" s="1"/>
      <c r="G113" s="297"/>
      <c r="H113" s="297"/>
      <c r="I113" s="248"/>
      <c r="L113" s="246"/>
      <c r="W113" s="1"/>
      <c r="Y113" s="1"/>
      <c r="AA113" s="1"/>
      <c r="AC113" s="1"/>
      <c r="AE113" s="1"/>
      <c r="AG113" s="1"/>
      <c r="AI113" s="1"/>
      <c r="AK113" s="1"/>
      <c r="AO113" s="1"/>
      <c r="AP113" s="1"/>
      <c r="AQ113" s="1"/>
      <c r="AR113" s="1"/>
      <c r="AT113" s="1"/>
      <c r="AU113" s="1"/>
      <c r="AV113" s="1"/>
      <c r="AW113" s="1"/>
      <c r="AX113" s="1"/>
      <c r="AY113" s="1"/>
    </row>
    <row r="114" spans="1:51" ht="15.75" customHeight="1" x14ac:dyDescent="0.2">
      <c r="A114" s="245"/>
      <c r="B114" s="244"/>
      <c r="C114" s="245"/>
      <c r="D114" s="1"/>
      <c r="E114" s="290"/>
      <c r="F114" s="1"/>
      <c r="G114" s="297"/>
      <c r="H114" s="297"/>
      <c r="I114" s="248"/>
      <c r="L114" s="246"/>
      <c r="W114" s="1"/>
      <c r="Y114" s="1"/>
      <c r="AA114" s="1"/>
      <c r="AC114" s="1"/>
      <c r="AE114" s="1"/>
      <c r="AG114" s="1"/>
      <c r="AI114" s="1"/>
      <c r="AK114" s="1"/>
      <c r="AO114" s="1"/>
      <c r="AP114" s="1"/>
      <c r="AQ114" s="1"/>
      <c r="AR114" s="1"/>
      <c r="AT114" s="1"/>
      <c r="AU114" s="1"/>
      <c r="AV114" s="1"/>
      <c r="AW114" s="1"/>
      <c r="AX114" s="1"/>
      <c r="AY114" s="1"/>
    </row>
    <row r="115" spans="1:51" ht="15.75" customHeight="1" x14ac:dyDescent="0.2">
      <c r="A115" s="245"/>
      <c r="B115" s="244"/>
      <c r="C115" s="245"/>
      <c r="D115" s="1"/>
      <c r="E115" s="290"/>
      <c r="F115" s="1"/>
      <c r="G115" s="381"/>
      <c r="H115" s="382"/>
      <c r="I115" s="382"/>
      <c r="L115" s="246"/>
      <c r="W115" s="1"/>
      <c r="Y115" s="1"/>
      <c r="AA115" s="1"/>
      <c r="AC115" s="1"/>
      <c r="AE115" s="1"/>
      <c r="AG115" s="1"/>
      <c r="AI115" s="1"/>
      <c r="AK115" s="1"/>
      <c r="AO115" s="1"/>
      <c r="AP115" s="1"/>
      <c r="AQ115" s="1"/>
      <c r="AR115" s="1"/>
      <c r="AT115" s="1"/>
      <c r="AU115" s="1"/>
      <c r="AV115" s="1"/>
      <c r="AW115" s="1"/>
      <c r="AX115" s="1"/>
      <c r="AY115" s="1"/>
    </row>
    <row r="116" spans="1:51" ht="39" customHeight="1" x14ac:dyDescent="0.2">
      <c r="A116" s="245"/>
      <c r="B116" s="244"/>
      <c r="C116" s="245"/>
      <c r="D116" s="1"/>
      <c r="E116" s="291"/>
      <c r="F116" s="1"/>
      <c r="G116" s="381"/>
      <c r="H116" s="382"/>
      <c r="I116" s="382"/>
      <c r="L116" s="246"/>
      <c r="W116" s="1"/>
      <c r="Y116" s="1"/>
      <c r="AA116" s="1"/>
      <c r="AC116" s="1"/>
      <c r="AE116" s="1"/>
      <c r="AG116" s="1"/>
      <c r="AI116" s="1"/>
      <c r="AK116" s="1"/>
      <c r="AO116" s="1"/>
      <c r="AP116" s="1"/>
      <c r="AQ116" s="1"/>
      <c r="AR116" s="1"/>
      <c r="AT116" s="1"/>
      <c r="AU116" s="1"/>
      <c r="AV116" s="1"/>
      <c r="AW116" s="1"/>
      <c r="AX116" s="1"/>
      <c r="AY116" s="1"/>
    </row>
    <row r="117" spans="1:51" ht="15.75" customHeight="1" x14ac:dyDescent="0.2">
      <c r="A117" s="245"/>
      <c r="B117" s="244"/>
      <c r="C117" s="245"/>
      <c r="D117" s="1"/>
      <c r="E117" s="292"/>
      <c r="F117" s="1"/>
      <c r="G117" s="381"/>
      <c r="H117" s="382"/>
      <c r="I117" s="382"/>
      <c r="L117" s="246"/>
      <c r="W117" s="1"/>
      <c r="Y117" s="1"/>
      <c r="AA117" s="1"/>
      <c r="AC117" s="1"/>
      <c r="AE117" s="1"/>
      <c r="AG117" s="1"/>
      <c r="AI117" s="1"/>
      <c r="AK117" s="1"/>
      <c r="AO117" s="1"/>
      <c r="AP117" s="1"/>
      <c r="AQ117" s="1"/>
      <c r="AR117" s="1"/>
      <c r="AT117" s="1"/>
      <c r="AU117" s="1"/>
      <c r="AV117" s="1"/>
      <c r="AW117" s="1"/>
      <c r="AX117" s="1"/>
      <c r="AY117" s="1"/>
    </row>
    <row r="118" spans="1:51" ht="38.25" customHeight="1" x14ac:dyDescent="0.2">
      <c r="A118" s="245"/>
      <c r="B118" s="244"/>
      <c r="C118" s="245"/>
      <c r="D118" s="1"/>
      <c r="E118" s="290"/>
      <c r="F118" s="1"/>
      <c r="G118" s="381"/>
      <c r="H118" s="382"/>
      <c r="I118" s="382"/>
      <c r="L118" s="246"/>
      <c r="W118" s="1"/>
      <c r="Y118" s="1"/>
      <c r="AA118" s="1"/>
      <c r="AC118" s="1"/>
      <c r="AE118" s="1"/>
      <c r="AG118" s="1"/>
      <c r="AI118" s="1"/>
      <c r="AK118" s="1"/>
      <c r="AO118" s="1"/>
      <c r="AP118" s="1"/>
      <c r="AQ118" s="1"/>
      <c r="AR118" s="1"/>
      <c r="AT118" s="1"/>
      <c r="AU118" s="1"/>
      <c r="AV118" s="1"/>
      <c r="AW118" s="1"/>
      <c r="AX118" s="1"/>
      <c r="AY118" s="1"/>
    </row>
    <row r="119" spans="1:51" ht="15.75" customHeight="1" x14ac:dyDescent="0.2">
      <c r="A119" s="245"/>
      <c r="B119" s="244"/>
      <c r="C119" s="245"/>
      <c r="F119" s="1"/>
      <c r="G119" s="381"/>
      <c r="H119" s="382"/>
      <c r="I119" s="382"/>
      <c r="L119" s="246"/>
      <c r="W119" s="1"/>
      <c r="Y119" s="1"/>
      <c r="AA119" s="1"/>
      <c r="AC119" s="1"/>
      <c r="AE119" s="1"/>
      <c r="AG119" s="1"/>
      <c r="AI119" s="1"/>
      <c r="AK119" s="1"/>
      <c r="AO119" s="1"/>
      <c r="AP119" s="1"/>
      <c r="AQ119" s="1"/>
      <c r="AR119" s="1"/>
      <c r="AT119" s="1"/>
      <c r="AU119" s="1"/>
      <c r="AV119" s="1"/>
      <c r="AW119" s="1"/>
      <c r="AX119" s="1"/>
      <c r="AY119" s="1"/>
    </row>
    <row r="120" spans="1:51" ht="38.25" customHeight="1" x14ac:dyDescent="0.2">
      <c r="A120" s="245"/>
      <c r="B120" s="244"/>
      <c r="C120" s="245"/>
      <c r="F120" s="1"/>
      <c r="G120" s="381"/>
      <c r="H120" s="382"/>
      <c r="I120" s="382"/>
      <c r="L120" s="246"/>
      <c r="W120" s="1"/>
      <c r="Y120" s="1"/>
      <c r="AA120" s="1"/>
      <c r="AC120" s="1"/>
      <c r="AE120" s="1"/>
      <c r="AG120" s="1"/>
      <c r="AI120" s="1"/>
      <c r="AK120" s="1"/>
      <c r="AO120" s="1"/>
      <c r="AP120" s="1"/>
      <c r="AQ120" s="1"/>
      <c r="AR120" s="1"/>
      <c r="AT120" s="1"/>
      <c r="AU120" s="1"/>
      <c r="AV120" s="1"/>
      <c r="AW120" s="1"/>
      <c r="AX120" s="1"/>
      <c r="AY120" s="1"/>
    </row>
    <row r="121" spans="1:51" ht="15.75" customHeight="1" x14ac:dyDescent="0.2">
      <c r="A121" s="245"/>
      <c r="B121" s="244"/>
      <c r="C121" s="245"/>
      <c r="F121" s="1"/>
      <c r="G121" s="381"/>
      <c r="H121" s="382"/>
      <c r="I121" s="382"/>
      <c r="L121" s="246"/>
      <c r="W121" s="1"/>
      <c r="Y121" s="1"/>
      <c r="AA121" s="1"/>
      <c r="AC121" s="1"/>
      <c r="AE121" s="1"/>
      <c r="AG121" s="1"/>
      <c r="AI121" s="1"/>
      <c r="AK121" s="1"/>
      <c r="AO121" s="1"/>
      <c r="AP121" s="1"/>
      <c r="AQ121" s="1"/>
      <c r="AR121" s="1"/>
      <c r="AT121" s="1"/>
      <c r="AU121" s="1"/>
      <c r="AV121" s="1"/>
      <c r="AW121" s="1"/>
      <c r="AX121" s="1"/>
      <c r="AY121" s="1"/>
    </row>
    <row r="122" spans="1:51" ht="42.75" customHeight="1" x14ac:dyDescent="0.2">
      <c r="A122" s="245"/>
      <c r="B122" s="244"/>
      <c r="C122" s="245"/>
      <c r="F122" s="1"/>
      <c r="G122" s="381"/>
      <c r="H122" s="382"/>
      <c r="I122" s="382"/>
      <c r="L122" s="246"/>
      <c r="W122" s="1"/>
      <c r="Y122" s="1"/>
      <c r="AA122" s="1"/>
      <c r="AC122" s="1"/>
      <c r="AE122" s="1"/>
      <c r="AG122" s="1"/>
      <c r="AI122" s="1"/>
      <c r="AK122" s="1"/>
      <c r="AO122" s="1"/>
      <c r="AP122" s="1"/>
      <c r="AQ122" s="1"/>
      <c r="AR122" s="1"/>
      <c r="AT122" s="277" t="e">
        <f>IF(#REF!&gt;0,#REF!/#REF!,0)</f>
        <v>#REF!</v>
      </c>
      <c r="AV122" s="1"/>
      <c r="AW122" s="249" t="e">
        <f>+#REF!</f>
        <v>#REF!</v>
      </c>
      <c r="AX122" s="249" t="e">
        <f>+#REF!</f>
        <v>#REF!</v>
      </c>
      <c r="AY122" s="249">
        <v>0</v>
      </c>
    </row>
    <row r="123" spans="1:51" ht="15.75" customHeight="1" x14ac:dyDescent="0.2">
      <c r="A123" s="245"/>
      <c r="B123" s="244"/>
      <c r="C123" s="245"/>
      <c r="F123" s="1"/>
      <c r="G123" s="381"/>
      <c r="H123" s="382"/>
      <c r="I123" s="382"/>
      <c r="L123" s="246"/>
      <c r="W123" s="1"/>
      <c r="Y123" s="1"/>
      <c r="AA123" s="1"/>
      <c r="AC123" s="1"/>
      <c r="AE123" s="1"/>
      <c r="AG123" s="1"/>
      <c r="AI123" s="1"/>
      <c r="AK123" s="1"/>
      <c r="AO123" s="1"/>
      <c r="AP123" s="1"/>
      <c r="AQ123" s="1"/>
      <c r="AR123" s="1"/>
      <c r="AU123" s="1"/>
      <c r="AV123" s="1"/>
      <c r="AX123" s="1"/>
      <c r="AY123" s="1"/>
    </row>
    <row r="124" spans="1:51" ht="45" customHeight="1" x14ac:dyDescent="0.2">
      <c r="A124" s="245"/>
      <c r="B124" s="244"/>
      <c r="C124" s="245"/>
      <c r="F124" s="1"/>
      <c r="G124" s="381"/>
      <c r="H124" s="382"/>
      <c r="I124" s="382"/>
      <c r="L124" s="246"/>
      <c r="W124" s="1"/>
      <c r="Y124" s="1"/>
      <c r="AA124" s="1"/>
      <c r="AC124" s="1"/>
      <c r="AE124" s="1"/>
      <c r="AG124" s="1"/>
      <c r="AI124" s="1"/>
      <c r="AK124" s="1"/>
      <c r="AO124" s="1"/>
      <c r="AP124" s="1"/>
      <c r="AQ124" s="1"/>
      <c r="AR124" s="1"/>
      <c r="AU124" s="1"/>
      <c r="AV124" s="1"/>
      <c r="AW124" s="30">
        <f>+AT5*3</f>
        <v>0.29128365505782949</v>
      </c>
      <c r="AX124" s="1"/>
      <c r="AY124" s="1"/>
    </row>
    <row r="125" spans="1:51" ht="15.75" customHeight="1" x14ac:dyDescent="0.2">
      <c r="A125" s="245"/>
      <c r="B125" s="244"/>
      <c r="C125" s="245"/>
      <c r="D125" s="1"/>
      <c r="E125" s="290"/>
      <c r="F125" s="1"/>
      <c r="G125" s="381"/>
      <c r="H125" s="382"/>
      <c r="I125" s="382"/>
      <c r="L125" s="246"/>
      <c r="W125" s="1"/>
      <c r="Y125" s="1"/>
      <c r="AA125" s="1"/>
      <c r="AC125" s="1"/>
      <c r="AE125" s="1"/>
      <c r="AG125" s="1"/>
      <c r="AI125" s="1"/>
      <c r="AK125" s="1"/>
      <c r="AO125" s="1"/>
      <c r="AP125" s="1"/>
      <c r="AQ125" s="1"/>
      <c r="AR125" s="1"/>
      <c r="AT125" s="1"/>
      <c r="AU125" s="1"/>
      <c r="AV125" s="1"/>
      <c r="AW125" s="172" t="e">
        <f>AVERAGE(AW122,#REF!,AX122)</f>
        <v>#REF!</v>
      </c>
      <c r="AX125" s="1"/>
      <c r="AY125" s="1"/>
    </row>
    <row r="126" spans="1:51" ht="63" customHeight="1" x14ac:dyDescent="0.2">
      <c r="A126" s="245"/>
      <c r="B126" s="244"/>
      <c r="C126" s="245"/>
      <c r="D126" s="1"/>
      <c r="E126" s="290"/>
      <c r="F126" s="1"/>
      <c r="G126" s="381"/>
      <c r="H126" s="382"/>
      <c r="I126" s="382"/>
      <c r="L126" s="246"/>
      <c r="W126" s="1"/>
      <c r="Y126" s="1"/>
      <c r="AA126" s="1"/>
      <c r="AC126" s="1"/>
      <c r="AE126" s="1"/>
      <c r="AG126" s="1"/>
      <c r="AI126" s="1"/>
      <c r="AK126" s="1"/>
      <c r="AO126" s="1"/>
      <c r="AP126" s="1"/>
      <c r="AQ126" s="1"/>
      <c r="AR126" s="1"/>
      <c r="AT126" s="1"/>
      <c r="AU126" s="1"/>
      <c r="AV126" s="1"/>
      <c r="AW126" s="1"/>
      <c r="AX126" s="1"/>
      <c r="AY126" s="1"/>
    </row>
    <row r="127" spans="1:51" ht="15.75" customHeight="1" x14ac:dyDescent="0.2">
      <c r="A127" s="245"/>
      <c r="B127" s="244"/>
      <c r="C127" s="245"/>
      <c r="D127" s="1"/>
      <c r="E127" s="290"/>
      <c r="F127" s="1"/>
      <c r="G127" s="381"/>
      <c r="H127" s="382"/>
      <c r="I127" s="382"/>
      <c r="L127" s="246"/>
      <c r="W127" s="1"/>
      <c r="Y127" s="1"/>
      <c r="AA127" s="1"/>
      <c r="AC127" s="1"/>
      <c r="AE127" s="1"/>
      <c r="AG127" s="1"/>
      <c r="AI127" s="1"/>
      <c r="AK127" s="1"/>
      <c r="AO127" s="1"/>
      <c r="AP127" s="1"/>
      <c r="AQ127" s="1"/>
      <c r="AR127" s="1"/>
      <c r="AT127" s="1"/>
      <c r="AU127" s="1"/>
      <c r="AV127" s="1"/>
      <c r="AW127" s="1"/>
      <c r="AX127" s="1"/>
      <c r="AY127" s="1"/>
    </row>
    <row r="128" spans="1:51" ht="47.25" customHeight="1" x14ac:dyDescent="0.2">
      <c r="A128" s="245"/>
      <c r="B128" s="244"/>
      <c r="C128" s="245"/>
      <c r="D128" s="1"/>
      <c r="E128" s="290"/>
      <c r="F128" s="1"/>
      <c r="G128" s="381"/>
      <c r="H128" s="382"/>
      <c r="I128" s="382"/>
      <c r="L128" s="246"/>
      <c r="W128" s="1"/>
      <c r="Y128" s="1"/>
      <c r="AA128" s="1"/>
      <c r="AC128" s="1"/>
      <c r="AE128" s="1"/>
      <c r="AG128" s="1"/>
      <c r="AI128" s="1"/>
      <c r="AK128" s="1"/>
      <c r="AO128" s="1"/>
      <c r="AP128" s="1"/>
      <c r="AQ128" s="1"/>
      <c r="AR128" s="1"/>
      <c r="AT128" s="1"/>
      <c r="AU128" s="1"/>
      <c r="AV128" s="1"/>
      <c r="AW128" s="1"/>
      <c r="AX128" s="1"/>
      <c r="AY128" s="1"/>
    </row>
    <row r="129" spans="1:51" ht="47.25" customHeight="1" x14ac:dyDescent="0.2">
      <c r="A129" s="245"/>
      <c r="B129" s="244"/>
      <c r="C129" s="245"/>
      <c r="D129" s="1"/>
      <c r="E129" s="290"/>
      <c r="F129" s="1"/>
      <c r="G129" s="298"/>
      <c r="H129" s="382"/>
      <c r="I129" s="382"/>
      <c r="L129" s="246"/>
      <c r="W129" s="1"/>
      <c r="Y129" s="1"/>
      <c r="AA129" s="1"/>
      <c r="AC129" s="1"/>
      <c r="AE129" s="1"/>
      <c r="AG129" s="1"/>
      <c r="AI129" s="1"/>
      <c r="AK129" s="1"/>
      <c r="AO129" s="1"/>
      <c r="AP129" s="1"/>
      <c r="AQ129" s="1"/>
      <c r="AR129" s="1"/>
      <c r="AT129" s="1"/>
      <c r="AU129" s="1"/>
      <c r="AV129" s="1"/>
      <c r="AW129" s="1"/>
      <c r="AX129" s="1"/>
      <c r="AY129" s="1"/>
    </row>
    <row r="130" spans="1:51" ht="15.75" customHeight="1" x14ac:dyDescent="0.2">
      <c r="A130" s="245"/>
      <c r="B130" s="244"/>
      <c r="C130" s="245"/>
      <c r="D130" s="1"/>
      <c r="E130" s="290"/>
      <c r="F130" s="1"/>
      <c r="G130" s="383"/>
      <c r="H130" s="382"/>
      <c r="I130" s="382"/>
      <c r="L130" s="246"/>
      <c r="W130" s="1"/>
      <c r="Y130" s="1"/>
      <c r="AA130" s="1"/>
      <c r="AC130" s="1"/>
      <c r="AE130" s="1"/>
      <c r="AG130" s="1"/>
      <c r="AI130" s="1"/>
      <c r="AK130" s="1"/>
      <c r="AO130" s="1"/>
      <c r="AP130" s="1"/>
      <c r="AQ130" s="1"/>
      <c r="AR130" s="1"/>
      <c r="AT130" s="1"/>
      <c r="AU130" s="1"/>
      <c r="AV130" s="1"/>
      <c r="AW130" s="1"/>
      <c r="AX130" s="1"/>
      <c r="AY130" s="1"/>
    </row>
    <row r="131" spans="1:51" ht="15.75" customHeight="1" x14ac:dyDescent="0.2">
      <c r="A131" s="245"/>
      <c r="B131" s="244"/>
      <c r="C131" s="245"/>
      <c r="D131" s="1"/>
      <c r="E131" s="290"/>
      <c r="F131" s="1"/>
      <c r="G131" s="383"/>
      <c r="H131" s="297"/>
      <c r="I131" s="248"/>
      <c r="L131" s="246"/>
      <c r="W131" s="1"/>
      <c r="Y131" s="1"/>
      <c r="AA131" s="1"/>
      <c r="AC131" s="1"/>
      <c r="AE131" s="1"/>
      <c r="AG131" s="1"/>
      <c r="AI131" s="1"/>
      <c r="AK131" s="1"/>
      <c r="AO131" s="1"/>
      <c r="AP131" s="1"/>
      <c r="AQ131" s="1"/>
      <c r="AR131" s="1"/>
      <c r="AT131" s="1"/>
      <c r="AU131" s="1"/>
      <c r="AV131" s="1"/>
      <c r="AW131" s="1"/>
      <c r="AX131" s="1"/>
      <c r="AY131" s="1"/>
    </row>
    <row r="132" spans="1:51" ht="15.75" customHeight="1" x14ac:dyDescent="0.2">
      <c r="A132" s="245"/>
      <c r="B132" s="244"/>
      <c r="C132" s="245"/>
      <c r="D132" s="1"/>
      <c r="E132" s="290"/>
      <c r="F132" s="1"/>
      <c r="G132" s="297"/>
      <c r="H132" s="297"/>
      <c r="I132" s="248"/>
      <c r="L132" s="246"/>
      <c r="W132" s="1"/>
      <c r="Y132" s="1"/>
      <c r="AA132" s="1"/>
      <c r="AC132" s="1"/>
      <c r="AE132" s="1"/>
      <c r="AG132" s="1"/>
      <c r="AI132" s="1"/>
      <c r="AK132" s="1"/>
      <c r="AO132" s="1"/>
      <c r="AP132" s="1"/>
      <c r="AQ132" s="1"/>
      <c r="AR132" s="1"/>
      <c r="AT132" s="1"/>
      <c r="AU132" s="1"/>
      <c r="AV132" s="1"/>
      <c r="AW132" s="1"/>
      <c r="AX132" s="1"/>
      <c r="AY132" s="1"/>
    </row>
    <row r="133" spans="1:51" ht="15.75" customHeight="1" x14ac:dyDescent="0.2">
      <c r="A133" s="245"/>
      <c r="B133" s="244"/>
      <c r="C133" s="245"/>
      <c r="D133" s="1"/>
      <c r="E133" s="290"/>
      <c r="F133" s="1"/>
      <c r="L133" s="246"/>
      <c r="W133" s="1"/>
      <c r="Y133" s="1"/>
      <c r="AA133" s="1"/>
      <c r="AC133" s="1"/>
      <c r="AE133" s="1"/>
      <c r="AG133" s="1"/>
      <c r="AI133" s="1"/>
      <c r="AK133" s="1"/>
      <c r="AO133" s="1"/>
      <c r="AP133" s="1"/>
      <c r="AQ133" s="1"/>
      <c r="AR133" s="1"/>
      <c r="AT133" s="1"/>
      <c r="AU133" s="1"/>
      <c r="AV133" s="1"/>
      <c r="AW133" s="1"/>
      <c r="AX133" s="1"/>
      <c r="AY133" s="1"/>
    </row>
    <row r="134" spans="1:51" ht="15.75" customHeight="1" x14ac:dyDescent="0.2">
      <c r="A134" s="245"/>
      <c r="B134" s="244"/>
      <c r="C134" s="245"/>
      <c r="D134" s="1"/>
      <c r="E134" s="290"/>
      <c r="F134" s="1"/>
      <c r="L134" s="246"/>
      <c r="W134" s="1"/>
      <c r="Y134" s="1"/>
      <c r="AA134" s="1"/>
      <c r="AC134" s="1"/>
      <c r="AE134" s="1"/>
      <c r="AG134" s="1"/>
      <c r="AI134" s="1"/>
      <c r="AK134" s="1"/>
      <c r="AO134" s="1"/>
      <c r="AP134" s="1"/>
      <c r="AQ134" s="1"/>
      <c r="AR134" s="1"/>
      <c r="AT134" s="1"/>
      <c r="AU134" s="1"/>
      <c r="AV134" s="1"/>
      <c r="AW134" s="1"/>
      <c r="AX134" s="1"/>
      <c r="AY134" s="1"/>
    </row>
    <row r="135" spans="1:51" ht="15.75" customHeight="1" x14ac:dyDescent="0.2">
      <c r="A135" s="245"/>
      <c r="B135" s="244"/>
      <c r="C135" s="245"/>
      <c r="D135" s="1"/>
      <c r="E135" s="290"/>
      <c r="F135" s="1"/>
      <c r="L135" s="246"/>
      <c r="W135" s="1"/>
      <c r="Y135" s="1"/>
      <c r="AA135" s="1"/>
      <c r="AC135" s="1"/>
      <c r="AE135" s="1"/>
      <c r="AG135" s="1"/>
      <c r="AI135" s="1"/>
      <c r="AK135" s="1"/>
      <c r="AO135" s="1"/>
      <c r="AP135" s="1"/>
      <c r="AQ135" s="1"/>
      <c r="AR135" s="1"/>
      <c r="AT135" s="1"/>
      <c r="AU135" s="1"/>
      <c r="AV135" s="1"/>
      <c r="AW135" s="1"/>
      <c r="AX135" s="1"/>
      <c r="AY135" s="1"/>
    </row>
    <row r="136" spans="1:51" ht="15.75" customHeight="1" x14ac:dyDescent="0.2">
      <c r="A136" s="245"/>
      <c r="B136" s="244"/>
      <c r="C136" s="245"/>
      <c r="D136" s="1"/>
      <c r="E136" s="290"/>
      <c r="F136" s="1"/>
      <c r="L136" s="246"/>
      <c r="W136" s="1"/>
      <c r="Y136" s="1"/>
      <c r="AA136" s="1"/>
      <c r="AC136" s="1"/>
      <c r="AE136" s="1"/>
      <c r="AG136" s="1"/>
      <c r="AI136" s="1"/>
      <c r="AK136" s="1"/>
      <c r="AO136" s="1"/>
      <c r="AP136" s="1"/>
      <c r="AQ136" s="1"/>
      <c r="AR136" s="1"/>
      <c r="AT136" s="1"/>
      <c r="AU136" s="1"/>
      <c r="AV136" s="1"/>
      <c r="AW136" s="1"/>
      <c r="AX136" s="1"/>
      <c r="AY136" s="1"/>
    </row>
    <row r="137" spans="1:51" ht="15.75" customHeight="1" x14ac:dyDescent="0.2">
      <c r="A137" s="245"/>
      <c r="B137" s="244"/>
      <c r="C137" s="245"/>
      <c r="D137" s="1"/>
      <c r="E137" s="290"/>
      <c r="F137" s="1"/>
      <c r="L137" s="246"/>
      <c r="W137" s="1"/>
      <c r="Y137" s="1"/>
      <c r="AA137" s="1"/>
      <c r="AC137" s="1"/>
      <c r="AE137" s="1"/>
      <c r="AG137" s="1"/>
      <c r="AI137" s="1"/>
      <c r="AK137" s="1"/>
      <c r="AO137" s="1"/>
      <c r="AP137" s="1"/>
      <c r="AQ137" s="1"/>
      <c r="AR137" s="1"/>
      <c r="AT137" s="1"/>
      <c r="AU137" s="1"/>
      <c r="AV137" s="1"/>
      <c r="AW137" s="1"/>
      <c r="AX137" s="1"/>
      <c r="AY137" s="1"/>
    </row>
    <row r="138" spans="1:51" ht="15.75" customHeight="1" x14ac:dyDescent="0.2">
      <c r="A138" s="245"/>
      <c r="B138" s="244"/>
      <c r="C138" s="245"/>
      <c r="D138" s="1"/>
      <c r="E138" s="290"/>
      <c r="F138" s="1"/>
      <c r="L138" s="246"/>
      <c r="W138" s="1"/>
      <c r="Y138" s="1"/>
      <c r="AA138" s="1"/>
      <c r="AC138" s="1"/>
      <c r="AE138" s="1"/>
      <c r="AG138" s="1"/>
      <c r="AI138" s="1"/>
      <c r="AK138" s="1"/>
      <c r="AO138" s="1"/>
      <c r="AP138" s="1"/>
      <c r="AQ138" s="1"/>
      <c r="AR138" s="1"/>
      <c r="AT138" s="1"/>
      <c r="AU138" s="1"/>
      <c r="AV138" s="1"/>
      <c r="AW138" s="1"/>
      <c r="AX138" s="1"/>
      <c r="AY138" s="1"/>
    </row>
    <row r="139" spans="1:51" ht="15.75" customHeight="1" x14ac:dyDescent="0.2">
      <c r="A139" s="245"/>
      <c r="B139" s="244"/>
      <c r="C139" s="245"/>
      <c r="D139" s="1"/>
      <c r="E139" s="290"/>
      <c r="F139" s="1"/>
      <c r="L139" s="246"/>
      <c r="W139" s="1"/>
      <c r="Y139" s="1"/>
      <c r="AA139" s="1"/>
      <c r="AC139" s="1"/>
      <c r="AE139" s="1"/>
      <c r="AG139" s="1"/>
      <c r="AI139" s="1"/>
      <c r="AK139" s="1"/>
      <c r="AO139" s="1"/>
      <c r="AP139" s="1"/>
      <c r="AQ139" s="1"/>
      <c r="AR139" s="1"/>
      <c r="AT139" s="1"/>
      <c r="AU139" s="1"/>
      <c r="AV139" s="1"/>
      <c r="AW139" s="1"/>
      <c r="AX139" s="1"/>
      <c r="AY139" s="1"/>
    </row>
    <row r="140" spans="1:51" ht="15.75" customHeight="1" x14ac:dyDescent="0.2">
      <c r="A140" s="245"/>
      <c r="B140" s="244"/>
      <c r="C140" s="245"/>
      <c r="D140" s="1"/>
      <c r="E140" s="290"/>
      <c r="F140" s="1"/>
      <c r="L140" s="246"/>
      <c r="W140" s="1"/>
      <c r="Y140" s="1"/>
      <c r="AA140" s="1"/>
      <c r="AC140" s="1"/>
      <c r="AE140" s="1"/>
      <c r="AG140" s="1"/>
      <c r="AI140" s="1"/>
      <c r="AK140" s="1"/>
      <c r="AO140" s="1"/>
      <c r="AP140" s="1"/>
      <c r="AQ140" s="1"/>
      <c r="AR140" s="1"/>
      <c r="AT140" s="1"/>
      <c r="AU140" s="1"/>
      <c r="AV140" s="1"/>
      <c r="AW140" s="1"/>
      <c r="AX140" s="1"/>
      <c r="AY140" s="1"/>
    </row>
    <row r="141" spans="1:51" ht="15.75" customHeight="1" x14ac:dyDescent="0.2">
      <c r="A141" s="245"/>
      <c r="B141" s="244"/>
      <c r="C141" s="245"/>
      <c r="D141" s="1"/>
      <c r="E141" s="290"/>
      <c r="F141" s="1"/>
      <c r="L141" s="246"/>
      <c r="W141" s="1"/>
      <c r="Y141" s="1"/>
      <c r="AA141" s="1"/>
      <c r="AC141" s="1"/>
      <c r="AE141" s="1"/>
      <c r="AG141" s="1"/>
      <c r="AI141" s="1"/>
      <c r="AK141" s="1"/>
      <c r="AO141" s="1"/>
      <c r="AP141" s="1"/>
      <c r="AQ141" s="1"/>
      <c r="AR141" s="1"/>
      <c r="AT141" s="1"/>
      <c r="AU141" s="1"/>
      <c r="AV141" s="1"/>
      <c r="AW141" s="1"/>
      <c r="AX141" s="1"/>
      <c r="AY141" s="1"/>
    </row>
    <row r="142" spans="1:51" ht="15.75" customHeight="1" x14ac:dyDescent="0.2">
      <c r="A142" s="245"/>
      <c r="B142" s="244"/>
      <c r="C142" s="245"/>
      <c r="D142" s="1"/>
      <c r="E142" s="290"/>
      <c r="F142" s="1"/>
      <c r="L142" s="246"/>
      <c r="W142" s="1"/>
      <c r="Y142" s="1"/>
      <c r="AA142" s="1"/>
      <c r="AC142" s="1"/>
      <c r="AE142" s="1"/>
      <c r="AG142" s="1"/>
      <c r="AI142" s="1"/>
      <c r="AK142" s="1"/>
      <c r="AO142" s="1"/>
      <c r="AP142" s="1"/>
      <c r="AQ142" s="1"/>
      <c r="AR142" s="1"/>
      <c r="AT142" s="1"/>
      <c r="AU142" s="1"/>
      <c r="AV142" s="1"/>
      <c r="AW142" s="1"/>
      <c r="AX142" s="1"/>
      <c r="AY142" s="1"/>
    </row>
    <row r="143" spans="1:51" ht="15.75" customHeight="1" x14ac:dyDescent="0.2">
      <c r="A143" s="245"/>
      <c r="B143" s="244"/>
      <c r="C143" s="245"/>
      <c r="D143" s="1"/>
      <c r="E143" s="290"/>
      <c r="F143" s="1"/>
      <c r="L143" s="246"/>
      <c r="W143" s="1"/>
      <c r="Y143" s="1"/>
      <c r="AA143" s="1"/>
      <c r="AC143" s="1"/>
      <c r="AE143" s="1"/>
      <c r="AG143" s="1"/>
      <c r="AI143" s="1"/>
      <c r="AK143" s="1"/>
      <c r="AO143" s="1"/>
      <c r="AP143" s="1"/>
      <c r="AQ143" s="1"/>
      <c r="AR143" s="1"/>
      <c r="AT143" s="1"/>
      <c r="AU143" s="1"/>
      <c r="AV143" s="1"/>
      <c r="AW143" s="1"/>
      <c r="AX143" s="1"/>
      <c r="AY143" s="1"/>
    </row>
    <row r="144" spans="1:51" ht="15.75" customHeight="1" x14ac:dyDescent="0.2">
      <c r="A144" s="245"/>
      <c r="B144" s="244"/>
      <c r="C144" s="245"/>
      <c r="D144" s="1"/>
      <c r="E144" s="290"/>
      <c r="F144" s="1"/>
      <c r="L144" s="246"/>
      <c r="W144" s="1"/>
      <c r="Y144" s="1"/>
      <c r="AA144" s="1"/>
      <c r="AC144" s="1"/>
      <c r="AE144" s="1"/>
      <c r="AG144" s="1"/>
      <c r="AI144" s="1"/>
      <c r="AK144" s="1"/>
      <c r="AO144" s="1"/>
      <c r="AP144" s="1"/>
      <c r="AQ144" s="1"/>
      <c r="AR144" s="1"/>
      <c r="AT144" s="1"/>
      <c r="AU144" s="1"/>
      <c r="AV144" s="1"/>
      <c r="AW144" s="1"/>
      <c r="AX144" s="1"/>
      <c r="AY144" s="1"/>
    </row>
    <row r="145" spans="1:51" ht="15.75" customHeight="1" x14ac:dyDescent="0.2">
      <c r="A145" s="245"/>
      <c r="B145" s="244"/>
      <c r="C145" s="245"/>
      <c r="D145" s="1"/>
      <c r="E145" s="290"/>
      <c r="F145" s="1"/>
      <c r="L145" s="246"/>
      <c r="W145" s="1"/>
      <c r="Y145" s="1"/>
      <c r="AA145" s="1"/>
      <c r="AC145" s="1"/>
      <c r="AE145" s="1"/>
      <c r="AG145" s="1"/>
      <c r="AI145" s="1"/>
      <c r="AK145" s="1"/>
      <c r="AO145" s="1"/>
      <c r="AP145" s="1"/>
      <c r="AQ145" s="1"/>
      <c r="AR145" s="1"/>
      <c r="AT145" s="1"/>
      <c r="AU145" s="1"/>
      <c r="AV145" s="1"/>
      <c r="AW145" s="1"/>
      <c r="AX145" s="1"/>
      <c r="AY145" s="1"/>
    </row>
    <row r="146" spans="1:51" ht="15.75" customHeight="1" x14ac:dyDescent="0.2">
      <c r="A146" s="245"/>
      <c r="B146" s="244"/>
      <c r="C146" s="245"/>
      <c r="D146" s="1"/>
      <c r="E146" s="290"/>
      <c r="F146" s="1"/>
      <c r="L146" s="246"/>
      <c r="W146" s="1"/>
      <c r="Y146" s="1"/>
      <c r="AA146" s="1"/>
      <c r="AC146" s="1"/>
      <c r="AE146" s="1"/>
      <c r="AG146" s="1"/>
      <c r="AI146" s="1"/>
      <c r="AK146" s="1"/>
      <c r="AO146" s="1"/>
      <c r="AP146" s="1"/>
      <c r="AQ146" s="1"/>
      <c r="AR146" s="1"/>
      <c r="AT146" s="1"/>
      <c r="AU146" s="1"/>
      <c r="AV146" s="1"/>
      <c r="AW146" s="1"/>
      <c r="AX146" s="1"/>
      <c r="AY146" s="1"/>
    </row>
    <row r="147" spans="1:51" ht="15.75" customHeight="1" x14ac:dyDescent="0.2">
      <c r="A147" s="245"/>
      <c r="B147" s="244"/>
      <c r="C147" s="245"/>
      <c r="D147" s="1"/>
      <c r="E147" s="290"/>
      <c r="F147" s="1"/>
      <c r="L147" s="246"/>
      <c r="W147" s="1"/>
      <c r="Y147" s="1"/>
      <c r="AA147" s="1"/>
      <c r="AC147" s="1"/>
      <c r="AE147" s="1"/>
      <c r="AG147" s="1"/>
      <c r="AI147" s="1"/>
      <c r="AK147" s="1"/>
      <c r="AO147" s="1"/>
      <c r="AP147" s="1"/>
      <c r="AQ147" s="1"/>
      <c r="AR147" s="1"/>
      <c r="AT147" s="1"/>
      <c r="AU147" s="1"/>
      <c r="AV147" s="1"/>
      <c r="AW147" s="1"/>
      <c r="AX147" s="1"/>
      <c r="AY147" s="1"/>
    </row>
    <row r="148" spans="1:51" ht="15.75" customHeight="1" x14ac:dyDescent="0.2">
      <c r="A148" s="245"/>
      <c r="B148" s="244"/>
      <c r="C148" s="245"/>
      <c r="D148" s="1"/>
      <c r="E148" s="290"/>
      <c r="F148" s="1"/>
      <c r="L148" s="246"/>
      <c r="W148" s="1"/>
      <c r="Y148" s="1"/>
      <c r="AA148" s="1"/>
      <c r="AC148" s="1"/>
      <c r="AE148" s="1"/>
      <c r="AG148" s="1"/>
      <c r="AI148" s="1"/>
      <c r="AK148" s="1"/>
      <c r="AO148" s="1"/>
      <c r="AP148" s="1"/>
      <c r="AQ148" s="1"/>
      <c r="AR148" s="1"/>
      <c r="AT148" s="1"/>
      <c r="AU148" s="1"/>
      <c r="AV148" s="1"/>
      <c r="AW148" s="1"/>
      <c r="AX148" s="1"/>
      <c r="AY148" s="1"/>
    </row>
    <row r="149" spans="1:51" ht="15.75" customHeight="1" x14ac:dyDescent="0.2">
      <c r="A149" s="245"/>
      <c r="B149" s="244"/>
      <c r="C149" s="245"/>
      <c r="D149" s="1"/>
      <c r="E149" s="290"/>
      <c r="F149" s="1"/>
      <c r="L149" s="246"/>
      <c r="W149" s="1"/>
      <c r="Y149" s="1"/>
      <c r="AA149" s="1"/>
      <c r="AC149" s="1"/>
      <c r="AE149" s="1"/>
      <c r="AG149" s="1"/>
      <c r="AI149" s="1"/>
      <c r="AK149" s="1"/>
      <c r="AO149" s="1"/>
      <c r="AP149" s="1"/>
      <c r="AQ149" s="1"/>
      <c r="AR149" s="1"/>
      <c r="AT149" s="1"/>
      <c r="AU149" s="1"/>
      <c r="AV149" s="1"/>
      <c r="AW149" s="1"/>
      <c r="AX149" s="1"/>
      <c r="AY149" s="1"/>
    </row>
    <row r="150" spans="1:51" ht="15.75" customHeight="1" x14ac:dyDescent="0.2">
      <c r="A150" s="245"/>
      <c r="B150" s="244"/>
      <c r="C150" s="245"/>
      <c r="D150" s="1"/>
      <c r="E150" s="290"/>
      <c r="F150" s="1"/>
      <c r="L150" s="246"/>
      <c r="W150" s="1"/>
      <c r="Y150" s="1"/>
      <c r="AA150" s="1"/>
      <c r="AC150" s="1"/>
      <c r="AE150" s="1"/>
      <c r="AG150" s="1"/>
      <c r="AI150" s="1"/>
      <c r="AK150" s="1"/>
      <c r="AO150" s="1"/>
      <c r="AP150" s="1"/>
      <c r="AQ150" s="1"/>
      <c r="AR150" s="1"/>
      <c r="AT150" s="1"/>
      <c r="AU150" s="1"/>
      <c r="AV150" s="1"/>
      <c r="AW150" s="1"/>
      <c r="AX150" s="1"/>
      <c r="AY150" s="1"/>
    </row>
    <row r="151" spans="1:51" ht="15.75" customHeight="1" x14ac:dyDescent="0.2">
      <c r="A151" s="245"/>
      <c r="B151" s="244"/>
      <c r="C151" s="245"/>
      <c r="D151" s="1"/>
      <c r="E151" s="290"/>
      <c r="F151" s="1"/>
      <c r="L151" s="246"/>
      <c r="W151" s="1"/>
      <c r="Y151" s="1"/>
      <c r="AA151" s="1"/>
      <c r="AC151" s="1"/>
      <c r="AE151" s="1"/>
      <c r="AG151" s="1"/>
      <c r="AI151" s="1"/>
      <c r="AK151" s="1"/>
      <c r="AO151" s="1"/>
      <c r="AP151" s="1"/>
      <c r="AQ151" s="1"/>
      <c r="AR151" s="1"/>
      <c r="AT151" s="1"/>
      <c r="AU151" s="1"/>
      <c r="AV151" s="1"/>
      <c r="AW151" s="1"/>
      <c r="AX151" s="1"/>
      <c r="AY151" s="1"/>
    </row>
    <row r="152" spans="1:51" ht="15.75" customHeight="1" x14ac:dyDescent="0.2">
      <c r="A152" s="245"/>
      <c r="B152" s="244"/>
      <c r="C152" s="245"/>
      <c r="D152" s="1"/>
      <c r="E152" s="290"/>
      <c r="F152" s="1"/>
      <c r="L152" s="246"/>
      <c r="W152" s="1"/>
      <c r="Y152" s="1"/>
      <c r="AA152" s="1"/>
      <c r="AC152" s="1"/>
      <c r="AE152" s="1"/>
      <c r="AG152" s="1"/>
      <c r="AI152" s="1"/>
      <c r="AK152" s="1"/>
      <c r="AO152" s="1"/>
      <c r="AP152" s="1"/>
      <c r="AQ152" s="1"/>
      <c r="AR152" s="1"/>
      <c r="AT152" s="1"/>
      <c r="AU152" s="1"/>
      <c r="AV152" s="1"/>
      <c r="AW152" s="1"/>
      <c r="AX152" s="1"/>
      <c r="AY152" s="1"/>
    </row>
    <row r="153" spans="1:51" ht="15.75" customHeight="1" x14ac:dyDescent="0.2">
      <c r="A153" s="245"/>
      <c r="B153" s="244"/>
      <c r="C153" s="245"/>
      <c r="D153" s="1"/>
      <c r="E153" s="290"/>
      <c r="F153" s="1"/>
      <c r="L153" s="246"/>
      <c r="W153" s="1"/>
      <c r="Y153" s="1"/>
      <c r="AA153" s="1"/>
      <c r="AC153" s="1"/>
      <c r="AE153" s="1"/>
      <c r="AG153" s="1"/>
      <c r="AI153" s="1"/>
      <c r="AK153" s="1"/>
      <c r="AO153" s="1"/>
      <c r="AP153" s="1"/>
      <c r="AQ153" s="1"/>
      <c r="AR153" s="1"/>
      <c r="AT153" s="1"/>
      <c r="AU153" s="1"/>
      <c r="AV153" s="1"/>
      <c r="AW153" s="1"/>
      <c r="AX153" s="1"/>
      <c r="AY153" s="1"/>
    </row>
    <row r="154" spans="1:51" ht="15.75" customHeight="1" x14ac:dyDescent="0.2">
      <c r="A154" s="245"/>
      <c r="B154" s="244"/>
      <c r="C154" s="245"/>
      <c r="D154" s="1"/>
      <c r="E154" s="290"/>
      <c r="F154" s="1"/>
      <c r="L154" s="246"/>
      <c r="W154" s="1"/>
      <c r="Y154" s="1"/>
      <c r="AA154" s="1"/>
      <c r="AC154" s="1"/>
      <c r="AE154" s="1"/>
      <c r="AG154" s="1"/>
      <c r="AI154" s="1"/>
      <c r="AK154" s="1"/>
      <c r="AO154" s="1"/>
      <c r="AP154" s="1"/>
      <c r="AQ154" s="1"/>
      <c r="AR154" s="1"/>
      <c r="AT154" s="1"/>
      <c r="AU154" s="1"/>
      <c r="AV154" s="1"/>
      <c r="AW154" s="1"/>
      <c r="AX154" s="1"/>
      <c r="AY154" s="1"/>
    </row>
    <row r="155" spans="1:51" ht="15.75" customHeight="1" x14ac:dyDescent="0.2">
      <c r="A155" s="245"/>
      <c r="B155" s="244"/>
      <c r="C155" s="245"/>
      <c r="D155" s="1"/>
      <c r="E155" s="290"/>
      <c r="F155" s="1"/>
      <c r="L155" s="246"/>
      <c r="W155" s="1"/>
      <c r="Y155" s="1"/>
      <c r="AA155" s="1"/>
      <c r="AC155" s="1"/>
      <c r="AE155" s="1"/>
      <c r="AG155" s="1"/>
      <c r="AI155" s="1"/>
      <c r="AK155" s="1"/>
      <c r="AO155" s="1"/>
      <c r="AP155" s="1"/>
      <c r="AQ155" s="1"/>
      <c r="AR155" s="1"/>
      <c r="AT155" s="1"/>
      <c r="AU155" s="1"/>
      <c r="AV155" s="1"/>
      <c r="AW155" s="1"/>
      <c r="AX155" s="1"/>
      <c r="AY155" s="1"/>
    </row>
    <row r="156" spans="1:51" ht="15.75" customHeight="1" x14ac:dyDescent="0.2">
      <c r="A156" s="245"/>
      <c r="B156" s="244"/>
      <c r="C156" s="245"/>
      <c r="D156" s="1"/>
      <c r="E156" s="290"/>
      <c r="F156" s="1"/>
      <c r="L156" s="246"/>
      <c r="W156" s="1"/>
      <c r="Y156" s="1"/>
      <c r="AA156" s="1"/>
      <c r="AC156" s="1"/>
      <c r="AE156" s="1"/>
      <c r="AG156" s="1"/>
      <c r="AI156" s="1"/>
      <c r="AK156" s="1"/>
      <c r="AO156" s="1"/>
      <c r="AP156" s="1"/>
      <c r="AQ156" s="1"/>
      <c r="AR156" s="1"/>
      <c r="AT156" s="1"/>
      <c r="AU156" s="1"/>
      <c r="AV156" s="1"/>
      <c r="AW156" s="1"/>
      <c r="AX156" s="1"/>
      <c r="AY156" s="1"/>
    </row>
    <row r="157" spans="1:51" ht="15.75" customHeight="1" x14ac:dyDescent="0.2">
      <c r="A157" s="245"/>
      <c r="B157" s="244"/>
      <c r="C157" s="245"/>
      <c r="D157" s="1"/>
      <c r="E157" s="290"/>
      <c r="F157" s="1"/>
      <c r="L157" s="246"/>
      <c r="W157" s="1"/>
      <c r="Y157" s="1"/>
      <c r="AA157" s="1"/>
      <c r="AC157" s="1"/>
      <c r="AE157" s="1"/>
      <c r="AG157" s="1"/>
      <c r="AI157" s="1"/>
      <c r="AK157" s="1"/>
      <c r="AO157" s="1"/>
      <c r="AP157" s="1"/>
      <c r="AQ157" s="1"/>
      <c r="AR157" s="1"/>
      <c r="AT157" s="1"/>
      <c r="AU157" s="1"/>
      <c r="AV157" s="1"/>
      <c r="AW157" s="1"/>
      <c r="AX157" s="1"/>
      <c r="AY157" s="1"/>
    </row>
    <row r="158" spans="1:51" ht="15.75" customHeight="1" x14ac:dyDescent="0.2">
      <c r="A158" s="245"/>
      <c r="B158" s="244"/>
      <c r="C158" s="245"/>
      <c r="D158" s="1"/>
      <c r="E158" s="290"/>
      <c r="F158" s="1"/>
      <c r="L158" s="246"/>
      <c r="W158" s="1"/>
      <c r="Y158" s="1"/>
      <c r="AA158" s="1"/>
      <c r="AC158" s="1"/>
      <c r="AE158" s="1"/>
      <c r="AG158" s="1"/>
      <c r="AI158" s="1"/>
      <c r="AK158" s="1"/>
      <c r="AO158" s="1"/>
      <c r="AP158" s="1"/>
      <c r="AQ158" s="1"/>
      <c r="AR158" s="1"/>
      <c r="AT158" s="1"/>
      <c r="AU158" s="1"/>
      <c r="AV158" s="1"/>
      <c r="AW158" s="1"/>
      <c r="AX158" s="1"/>
      <c r="AY158" s="1"/>
    </row>
    <row r="159" spans="1:51" ht="15.75" customHeight="1" x14ac:dyDescent="0.2">
      <c r="A159" s="245"/>
      <c r="B159" s="244"/>
      <c r="C159" s="245"/>
      <c r="D159" s="1"/>
      <c r="E159" s="290"/>
      <c r="F159" s="1"/>
      <c r="L159" s="246"/>
      <c r="W159" s="1"/>
      <c r="Y159" s="1"/>
      <c r="AA159" s="1"/>
      <c r="AC159" s="1"/>
      <c r="AE159" s="1"/>
      <c r="AG159" s="1"/>
      <c r="AI159" s="1"/>
      <c r="AK159" s="1"/>
      <c r="AO159" s="1"/>
      <c r="AP159" s="1"/>
      <c r="AQ159" s="1"/>
      <c r="AR159" s="1"/>
      <c r="AT159" s="1"/>
      <c r="AU159" s="1"/>
      <c r="AV159" s="1"/>
      <c r="AW159" s="1"/>
      <c r="AX159" s="1"/>
      <c r="AY159" s="1"/>
    </row>
    <row r="160" spans="1:51" ht="15.75" customHeight="1" x14ac:dyDescent="0.2">
      <c r="A160" s="245"/>
      <c r="B160" s="244"/>
      <c r="C160" s="245"/>
      <c r="D160" s="1"/>
      <c r="E160" s="290"/>
      <c r="F160" s="1"/>
      <c r="L160" s="246"/>
      <c r="W160" s="1"/>
      <c r="Y160" s="1"/>
      <c r="AA160" s="1"/>
      <c r="AC160" s="1"/>
      <c r="AE160" s="1"/>
      <c r="AG160" s="1"/>
      <c r="AI160" s="1"/>
      <c r="AK160" s="1"/>
      <c r="AO160" s="1"/>
      <c r="AP160" s="1"/>
      <c r="AQ160" s="1"/>
      <c r="AR160" s="1"/>
      <c r="AT160" s="1"/>
      <c r="AU160" s="1"/>
      <c r="AV160" s="1"/>
      <c r="AW160" s="1"/>
      <c r="AX160" s="1"/>
      <c r="AY160" s="1"/>
    </row>
    <row r="161" spans="1:51" ht="15.75" customHeight="1" x14ac:dyDescent="0.2">
      <c r="A161" s="245"/>
      <c r="B161" s="244"/>
      <c r="C161" s="245"/>
      <c r="D161" s="1"/>
      <c r="E161" s="290"/>
      <c r="F161" s="1"/>
      <c r="L161" s="246"/>
      <c r="W161" s="1"/>
      <c r="Y161" s="1"/>
      <c r="AA161" s="1"/>
      <c r="AC161" s="1"/>
      <c r="AE161" s="1"/>
      <c r="AG161" s="1"/>
      <c r="AI161" s="1"/>
      <c r="AK161" s="1"/>
      <c r="AO161" s="1"/>
      <c r="AP161" s="1"/>
      <c r="AQ161" s="1"/>
      <c r="AR161" s="1"/>
      <c r="AT161" s="1"/>
      <c r="AU161" s="1"/>
      <c r="AV161" s="1"/>
      <c r="AW161" s="1"/>
      <c r="AX161" s="1"/>
      <c r="AY161" s="1"/>
    </row>
    <row r="162" spans="1:51" ht="15.75" customHeight="1" x14ac:dyDescent="0.2">
      <c r="A162" s="245"/>
      <c r="B162" s="244"/>
      <c r="C162" s="245"/>
      <c r="D162" s="1"/>
      <c r="E162" s="290"/>
      <c r="F162" s="1"/>
      <c r="L162" s="246"/>
      <c r="W162" s="1"/>
      <c r="Y162" s="1"/>
      <c r="AA162" s="1"/>
      <c r="AC162" s="1"/>
      <c r="AE162" s="1"/>
      <c r="AG162" s="1"/>
      <c r="AI162" s="1"/>
      <c r="AK162" s="1"/>
      <c r="AO162" s="1"/>
      <c r="AP162" s="1"/>
      <c r="AQ162" s="1"/>
      <c r="AR162" s="1"/>
      <c r="AT162" s="1"/>
      <c r="AU162" s="1"/>
      <c r="AV162" s="1"/>
      <c r="AW162" s="1"/>
      <c r="AX162" s="1"/>
      <c r="AY162" s="1"/>
    </row>
    <row r="163" spans="1:51" ht="15.75" customHeight="1" x14ac:dyDescent="0.2">
      <c r="A163" s="245"/>
      <c r="B163" s="244"/>
      <c r="C163" s="245"/>
      <c r="D163" s="1"/>
      <c r="E163" s="290"/>
      <c r="F163" s="1"/>
      <c r="L163" s="246"/>
      <c r="W163" s="1"/>
      <c r="Y163" s="1"/>
      <c r="AA163" s="1"/>
      <c r="AC163" s="1"/>
      <c r="AE163" s="1"/>
      <c r="AG163" s="1"/>
      <c r="AI163" s="1"/>
      <c r="AK163" s="1"/>
      <c r="AO163" s="1"/>
      <c r="AP163" s="1"/>
      <c r="AQ163" s="1"/>
      <c r="AR163" s="1"/>
      <c r="AT163" s="1"/>
      <c r="AU163" s="1"/>
      <c r="AV163" s="1"/>
      <c r="AW163" s="1"/>
      <c r="AX163" s="1"/>
      <c r="AY163" s="1"/>
    </row>
    <row r="164" spans="1:51" ht="15.75" customHeight="1" x14ac:dyDescent="0.2">
      <c r="A164" s="245"/>
      <c r="B164" s="244"/>
      <c r="C164" s="245"/>
      <c r="D164" s="1"/>
      <c r="E164" s="290"/>
      <c r="F164" s="1"/>
      <c r="L164" s="246"/>
      <c r="W164" s="1"/>
      <c r="Y164" s="1"/>
      <c r="AA164" s="1"/>
      <c r="AC164" s="1"/>
      <c r="AE164" s="1"/>
      <c r="AG164" s="1"/>
      <c r="AI164" s="1"/>
      <c r="AK164" s="1"/>
      <c r="AO164" s="1"/>
      <c r="AP164" s="1"/>
      <c r="AQ164" s="1"/>
      <c r="AR164" s="1"/>
      <c r="AT164" s="1"/>
      <c r="AU164" s="1"/>
      <c r="AV164" s="1"/>
      <c r="AW164" s="1"/>
      <c r="AX164" s="1"/>
      <c r="AY164" s="1"/>
    </row>
    <row r="165" spans="1:51" ht="15.75" customHeight="1" x14ac:dyDescent="0.2">
      <c r="A165" s="245"/>
      <c r="B165" s="244"/>
      <c r="C165" s="245"/>
      <c r="D165" s="1"/>
      <c r="E165" s="290"/>
      <c r="F165" s="1"/>
      <c r="L165" s="246"/>
      <c r="W165" s="1"/>
      <c r="Y165" s="1"/>
      <c r="AA165" s="1"/>
      <c r="AC165" s="1"/>
      <c r="AE165" s="1"/>
      <c r="AG165" s="1"/>
      <c r="AI165" s="1"/>
      <c r="AK165" s="1"/>
      <c r="AO165" s="1"/>
      <c r="AP165" s="1"/>
      <c r="AQ165" s="1"/>
      <c r="AR165" s="1"/>
      <c r="AT165" s="1"/>
      <c r="AU165" s="1"/>
      <c r="AV165" s="1"/>
      <c r="AW165" s="1"/>
      <c r="AX165" s="1"/>
      <c r="AY165" s="1"/>
    </row>
    <row r="166" spans="1:51" ht="15.75" customHeight="1" x14ac:dyDescent="0.2">
      <c r="A166" s="245"/>
      <c r="B166" s="244"/>
      <c r="C166" s="245"/>
      <c r="D166" s="1"/>
      <c r="E166" s="290"/>
      <c r="F166" s="1"/>
      <c r="L166" s="246"/>
      <c r="W166" s="1"/>
      <c r="Y166" s="1"/>
      <c r="AA166" s="1"/>
      <c r="AC166" s="1"/>
      <c r="AE166" s="1"/>
      <c r="AG166" s="1"/>
      <c r="AI166" s="1"/>
      <c r="AK166" s="1"/>
      <c r="AO166" s="1"/>
      <c r="AP166" s="1"/>
      <c r="AQ166" s="1"/>
      <c r="AR166" s="1"/>
      <c r="AT166" s="1"/>
      <c r="AU166" s="1"/>
      <c r="AV166" s="1"/>
      <c r="AW166" s="1"/>
      <c r="AX166" s="1"/>
      <c r="AY166" s="1"/>
    </row>
    <row r="167" spans="1:51" ht="15.75" customHeight="1" x14ac:dyDescent="0.2">
      <c r="A167" s="245"/>
      <c r="B167" s="244"/>
      <c r="C167" s="245"/>
      <c r="D167" s="1"/>
      <c r="E167" s="290"/>
      <c r="F167" s="1"/>
      <c r="L167" s="246"/>
      <c r="W167" s="1"/>
      <c r="Y167" s="1"/>
      <c r="AA167" s="1"/>
      <c r="AC167" s="1"/>
      <c r="AE167" s="1"/>
      <c r="AG167" s="1"/>
      <c r="AI167" s="1"/>
      <c r="AK167" s="1"/>
      <c r="AO167" s="1"/>
      <c r="AP167" s="1"/>
      <c r="AQ167" s="1"/>
      <c r="AR167" s="1"/>
      <c r="AT167" s="1"/>
      <c r="AU167" s="1"/>
      <c r="AV167" s="1"/>
      <c r="AW167" s="1"/>
      <c r="AX167" s="1"/>
      <c r="AY167" s="1"/>
    </row>
    <row r="168" spans="1:51" ht="15.75" customHeight="1" x14ac:dyDescent="0.2">
      <c r="A168" s="245"/>
      <c r="B168" s="244"/>
      <c r="C168" s="245"/>
      <c r="D168" s="1"/>
      <c r="E168" s="290"/>
      <c r="F168" s="1"/>
      <c r="L168" s="246"/>
      <c r="W168" s="1"/>
      <c r="Y168" s="1"/>
      <c r="AA168" s="1"/>
      <c r="AC168" s="1"/>
      <c r="AE168" s="1"/>
      <c r="AG168" s="1"/>
      <c r="AI168" s="1"/>
      <c r="AK168" s="1"/>
      <c r="AO168" s="1"/>
      <c r="AP168" s="1"/>
      <c r="AQ168" s="1"/>
      <c r="AR168" s="1"/>
      <c r="AT168" s="1"/>
      <c r="AU168" s="1"/>
      <c r="AV168" s="1"/>
      <c r="AW168" s="1"/>
      <c r="AX168" s="1"/>
      <c r="AY168" s="1"/>
    </row>
    <row r="169" spans="1:51" ht="15.75" customHeight="1" x14ac:dyDescent="0.2">
      <c r="A169" s="245"/>
      <c r="B169" s="244"/>
      <c r="C169" s="245"/>
      <c r="D169" s="1"/>
      <c r="E169" s="290"/>
      <c r="F169" s="1"/>
      <c r="L169" s="246"/>
      <c r="W169" s="1"/>
      <c r="Y169" s="1"/>
      <c r="AA169" s="1"/>
      <c r="AC169" s="1"/>
      <c r="AE169" s="1"/>
      <c r="AG169" s="1"/>
      <c r="AI169" s="1"/>
      <c r="AK169" s="1"/>
      <c r="AO169" s="1"/>
      <c r="AP169" s="1"/>
      <c r="AQ169" s="1"/>
      <c r="AR169" s="1"/>
      <c r="AT169" s="1"/>
      <c r="AU169" s="1"/>
      <c r="AV169" s="1"/>
      <c r="AW169" s="1"/>
      <c r="AX169" s="1"/>
      <c r="AY169" s="1"/>
    </row>
    <row r="170" spans="1:51" ht="15.75" customHeight="1" x14ac:dyDescent="0.2">
      <c r="A170" s="245"/>
      <c r="B170" s="244"/>
      <c r="C170" s="245"/>
      <c r="D170" s="1"/>
      <c r="E170" s="290"/>
      <c r="F170" s="1"/>
      <c r="L170" s="246"/>
      <c r="W170" s="1"/>
      <c r="Y170" s="1"/>
      <c r="AA170" s="1"/>
      <c r="AC170" s="1"/>
      <c r="AE170" s="1"/>
      <c r="AG170" s="1"/>
      <c r="AI170" s="1"/>
      <c r="AK170" s="1"/>
      <c r="AO170" s="1"/>
      <c r="AP170" s="1"/>
      <c r="AQ170" s="1"/>
      <c r="AR170" s="1"/>
      <c r="AT170" s="1"/>
      <c r="AU170" s="1"/>
      <c r="AV170" s="1"/>
      <c r="AW170" s="1"/>
      <c r="AX170" s="1"/>
      <c r="AY170" s="1"/>
    </row>
    <row r="171" spans="1:51" ht="15.75" customHeight="1" x14ac:dyDescent="0.2">
      <c r="A171" s="245"/>
      <c r="B171" s="244"/>
      <c r="C171" s="245"/>
      <c r="D171" s="1"/>
      <c r="E171" s="290"/>
      <c r="F171" s="1"/>
      <c r="L171" s="246"/>
      <c r="W171" s="1"/>
      <c r="Y171" s="1"/>
      <c r="AA171" s="1"/>
      <c r="AC171" s="1"/>
      <c r="AE171" s="1"/>
      <c r="AG171" s="1"/>
      <c r="AI171" s="1"/>
      <c r="AK171" s="1"/>
      <c r="AO171" s="1"/>
      <c r="AP171" s="1"/>
      <c r="AQ171" s="1"/>
      <c r="AR171" s="1"/>
      <c r="AT171" s="1"/>
      <c r="AU171" s="1"/>
      <c r="AV171" s="1"/>
      <c r="AW171" s="1"/>
      <c r="AX171" s="1"/>
      <c r="AY171" s="1"/>
    </row>
    <row r="172" spans="1:51" ht="15.75" customHeight="1" x14ac:dyDescent="0.2">
      <c r="A172" s="245"/>
      <c r="B172" s="244"/>
      <c r="C172" s="245"/>
      <c r="D172" s="1"/>
      <c r="E172" s="290"/>
      <c r="F172" s="1"/>
      <c r="L172" s="246"/>
      <c r="W172" s="1"/>
      <c r="Y172" s="1"/>
      <c r="AA172" s="1"/>
      <c r="AC172" s="1"/>
      <c r="AE172" s="1"/>
      <c r="AG172" s="1"/>
      <c r="AI172" s="1"/>
      <c r="AK172" s="1"/>
      <c r="AO172" s="1"/>
      <c r="AP172" s="1"/>
      <c r="AQ172" s="1"/>
      <c r="AR172" s="1"/>
      <c r="AT172" s="1"/>
      <c r="AU172" s="1"/>
      <c r="AV172" s="1"/>
      <c r="AW172" s="1"/>
      <c r="AX172" s="1"/>
      <c r="AY172" s="1"/>
    </row>
    <row r="173" spans="1:51" ht="15.75" customHeight="1" x14ac:dyDescent="0.2">
      <c r="A173" s="245"/>
      <c r="B173" s="244"/>
      <c r="C173" s="245"/>
      <c r="D173" s="1"/>
      <c r="E173" s="290"/>
      <c r="F173" s="1"/>
      <c r="L173" s="246"/>
      <c r="W173" s="1"/>
      <c r="Y173" s="1"/>
      <c r="AA173" s="1"/>
      <c r="AC173" s="1"/>
      <c r="AE173" s="1"/>
      <c r="AG173" s="1"/>
      <c r="AI173" s="1"/>
      <c r="AK173" s="1"/>
      <c r="AO173" s="1"/>
      <c r="AP173" s="1"/>
      <c r="AQ173" s="1"/>
      <c r="AR173" s="1"/>
      <c r="AT173" s="1"/>
      <c r="AU173" s="1"/>
      <c r="AV173" s="1"/>
      <c r="AW173" s="1"/>
      <c r="AX173" s="1"/>
      <c r="AY173" s="1"/>
    </row>
    <row r="174" spans="1:51" ht="15.75" customHeight="1" x14ac:dyDescent="0.2">
      <c r="A174" s="245"/>
      <c r="B174" s="244"/>
      <c r="C174" s="245"/>
      <c r="D174" s="1"/>
      <c r="E174" s="290"/>
      <c r="F174" s="1"/>
      <c r="L174" s="246"/>
      <c r="W174" s="1"/>
      <c r="Y174" s="1"/>
      <c r="AA174" s="1"/>
      <c r="AC174" s="1"/>
      <c r="AE174" s="1"/>
      <c r="AG174" s="1"/>
      <c r="AI174" s="1"/>
      <c r="AK174" s="1"/>
      <c r="AO174" s="1"/>
      <c r="AP174" s="1"/>
      <c r="AQ174" s="1"/>
      <c r="AR174" s="1"/>
      <c r="AT174" s="1"/>
      <c r="AU174" s="1"/>
      <c r="AV174" s="1"/>
      <c r="AW174" s="1"/>
      <c r="AX174" s="1"/>
      <c r="AY174" s="1"/>
    </row>
    <row r="175" spans="1:51" ht="15.75" customHeight="1" x14ac:dyDescent="0.2">
      <c r="A175" s="245"/>
      <c r="B175" s="244"/>
      <c r="C175" s="245"/>
      <c r="D175" s="1"/>
      <c r="E175" s="290"/>
      <c r="F175" s="1"/>
      <c r="L175" s="246"/>
      <c r="W175" s="1"/>
      <c r="Y175" s="1"/>
      <c r="AA175" s="1"/>
      <c r="AC175" s="1"/>
      <c r="AE175" s="1"/>
      <c r="AG175" s="1"/>
      <c r="AI175" s="1"/>
      <c r="AK175" s="1"/>
      <c r="AO175" s="1"/>
      <c r="AP175" s="1"/>
      <c r="AQ175" s="1"/>
      <c r="AR175" s="1"/>
      <c r="AT175" s="1"/>
      <c r="AU175" s="1"/>
      <c r="AV175" s="1"/>
      <c r="AW175" s="1"/>
      <c r="AX175" s="1"/>
      <c r="AY175" s="1"/>
    </row>
    <row r="176" spans="1:51" ht="15.75" customHeight="1" x14ac:dyDescent="0.2">
      <c r="A176" s="245"/>
      <c r="B176" s="244"/>
      <c r="C176" s="245"/>
      <c r="D176" s="1"/>
      <c r="E176" s="290"/>
      <c r="F176" s="1"/>
      <c r="L176" s="246"/>
      <c r="W176" s="1"/>
      <c r="Y176" s="1"/>
      <c r="AA176" s="1"/>
      <c r="AC176" s="1"/>
      <c r="AE176" s="1"/>
      <c r="AG176" s="1"/>
      <c r="AI176" s="1"/>
      <c r="AK176" s="1"/>
      <c r="AO176" s="1"/>
      <c r="AP176" s="1"/>
      <c r="AQ176" s="1"/>
      <c r="AR176" s="1"/>
      <c r="AT176" s="1"/>
      <c r="AU176" s="1"/>
      <c r="AV176" s="1"/>
      <c r="AW176" s="1"/>
      <c r="AX176" s="1"/>
      <c r="AY176" s="1"/>
    </row>
    <row r="177" spans="1:51" ht="15.75" customHeight="1" x14ac:dyDescent="0.2">
      <c r="A177" s="245"/>
      <c r="B177" s="244"/>
      <c r="C177" s="245"/>
      <c r="D177" s="1"/>
      <c r="E177" s="290"/>
      <c r="F177" s="1"/>
      <c r="L177" s="246"/>
      <c r="W177" s="1"/>
      <c r="Y177" s="1"/>
      <c r="AA177" s="1"/>
      <c r="AC177" s="1"/>
      <c r="AE177" s="1"/>
      <c r="AG177" s="1"/>
      <c r="AI177" s="1"/>
      <c r="AK177" s="1"/>
      <c r="AO177" s="1"/>
      <c r="AP177" s="1"/>
      <c r="AQ177" s="1"/>
      <c r="AR177" s="1"/>
      <c r="AT177" s="1"/>
      <c r="AU177" s="1"/>
      <c r="AV177" s="1"/>
      <c r="AW177" s="1"/>
      <c r="AX177" s="1"/>
      <c r="AY177" s="1"/>
    </row>
    <row r="178" spans="1:51" ht="15.75" customHeight="1" x14ac:dyDescent="0.2">
      <c r="A178" s="245"/>
      <c r="B178" s="244"/>
      <c r="C178" s="245"/>
      <c r="D178" s="1"/>
      <c r="E178" s="290"/>
      <c r="F178" s="1"/>
      <c r="L178" s="246"/>
      <c r="W178" s="1"/>
      <c r="Y178" s="1"/>
      <c r="AA178" s="1"/>
      <c r="AC178" s="1"/>
      <c r="AE178" s="1"/>
      <c r="AG178" s="1"/>
      <c r="AI178" s="1"/>
      <c r="AK178" s="1"/>
      <c r="AO178" s="1"/>
      <c r="AP178" s="1"/>
      <c r="AQ178" s="1"/>
      <c r="AR178" s="1"/>
      <c r="AT178" s="1"/>
      <c r="AU178" s="1"/>
      <c r="AV178" s="1"/>
      <c r="AW178" s="1"/>
      <c r="AX178" s="1"/>
      <c r="AY178" s="1"/>
    </row>
    <row r="179" spans="1:51" ht="15.75" customHeight="1" x14ac:dyDescent="0.2">
      <c r="A179" s="245"/>
      <c r="B179" s="244"/>
      <c r="C179" s="245"/>
      <c r="D179" s="1"/>
      <c r="E179" s="290"/>
      <c r="F179" s="1"/>
      <c r="L179" s="246"/>
      <c r="W179" s="1"/>
      <c r="Y179" s="1"/>
      <c r="AA179" s="1"/>
      <c r="AC179" s="1"/>
      <c r="AE179" s="1"/>
      <c r="AG179" s="1"/>
      <c r="AI179" s="1"/>
      <c r="AK179" s="1"/>
      <c r="AO179" s="1"/>
      <c r="AP179" s="1"/>
      <c r="AQ179" s="1"/>
      <c r="AR179" s="1"/>
      <c r="AT179" s="1"/>
      <c r="AU179" s="1"/>
      <c r="AV179" s="1"/>
      <c r="AW179" s="1"/>
      <c r="AX179" s="1"/>
      <c r="AY179" s="1"/>
    </row>
    <row r="180" spans="1:51" ht="15.75" customHeight="1" x14ac:dyDescent="0.2">
      <c r="A180" s="245"/>
      <c r="B180" s="244"/>
      <c r="C180" s="245"/>
      <c r="D180" s="1"/>
      <c r="E180" s="290"/>
      <c r="F180" s="1"/>
      <c r="L180" s="246"/>
      <c r="W180" s="1"/>
      <c r="Y180" s="1"/>
      <c r="AA180" s="1"/>
      <c r="AC180" s="1"/>
      <c r="AE180" s="1"/>
      <c r="AG180" s="1"/>
      <c r="AI180" s="1"/>
      <c r="AK180" s="1"/>
      <c r="AO180" s="1"/>
      <c r="AP180" s="1"/>
      <c r="AQ180" s="1"/>
      <c r="AR180" s="1"/>
      <c r="AT180" s="1"/>
      <c r="AU180" s="1"/>
      <c r="AV180" s="1"/>
      <c r="AW180" s="1"/>
      <c r="AX180" s="1"/>
      <c r="AY180" s="1"/>
    </row>
    <row r="181" spans="1:51" ht="15.75" customHeight="1" x14ac:dyDescent="0.2">
      <c r="A181" s="245"/>
      <c r="B181" s="244"/>
      <c r="C181" s="245"/>
      <c r="D181" s="1"/>
      <c r="E181" s="290"/>
      <c r="F181" s="1"/>
      <c r="L181" s="246"/>
      <c r="W181" s="1"/>
      <c r="Y181" s="1"/>
      <c r="AA181" s="1"/>
      <c r="AC181" s="1"/>
      <c r="AE181" s="1"/>
      <c r="AG181" s="1"/>
      <c r="AI181" s="1"/>
      <c r="AK181" s="1"/>
      <c r="AO181" s="1"/>
      <c r="AP181" s="1"/>
      <c r="AQ181" s="1"/>
      <c r="AR181" s="1"/>
      <c r="AT181" s="1"/>
      <c r="AU181" s="1"/>
      <c r="AV181" s="1"/>
      <c r="AW181" s="1"/>
      <c r="AX181" s="1"/>
      <c r="AY181" s="1"/>
    </row>
    <row r="182" spans="1:51" ht="15.75" customHeight="1" x14ac:dyDescent="0.2">
      <c r="A182" s="245"/>
      <c r="B182" s="244"/>
      <c r="C182" s="245"/>
      <c r="D182" s="1"/>
      <c r="E182" s="290"/>
      <c r="F182" s="1"/>
      <c r="L182" s="246"/>
      <c r="W182" s="1"/>
      <c r="Y182" s="1"/>
      <c r="AA182" s="1"/>
      <c r="AC182" s="1"/>
      <c r="AE182" s="1"/>
      <c r="AG182" s="1"/>
      <c r="AI182" s="1"/>
      <c r="AK182" s="1"/>
      <c r="AO182" s="1"/>
      <c r="AP182" s="1"/>
      <c r="AQ182" s="1"/>
      <c r="AR182" s="1"/>
      <c r="AT182" s="1"/>
      <c r="AU182" s="1"/>
      <c r="AV182" s="1"/>
      <c r="AW182" s="1"/>
      <c r="AX182" s="1"/>
      <c r="AY182" s="1"/>
    </row>
    <row r="183" spans="1:51" ht="15.75" customHeight="1" x14ac:dyDescent="0.2">
      <c r="A183" s="245"/>
      <c r="B183" s="244"/>
      <c r="C183" s="245"/>
      <c r="D183" s="1"/>
      <c r="E183" s="290"/>
      <c r="F183" s="1"/>
      <c r="L183" s="246"/>
      <c r="W183" s="1"/>
      <c r="Y183" s="1"/>
      <c r="AA183" s="1"/>
      <c r="AC183" s="1"/>
      <c r="AE183" s="1"/>
      <c r="AG183" s="1"/>
      <c r="AI183" s="1"/>
      <c r="AK183" s="1"/>
      <c r="AO183" s="1"/>
      <c r="AP183" s="1"/>
      <c r="AQ183" s="1"/>
      <c r="AR183" s="1"/>
      <c r="AT183" s="1"/>
      <c r="AU183" s="1"/>
      <c r="AV183" s="1"/>
      <c r="AW183" s="1"/>
      <c r="AX183" s="1"/>
      <c r="AY183" s="1"/>
    </row>
    <row r="184" spans="1:51" ht="15.75" customHeight="1" x14ac:dyDescent="0.2">
      <c r="A184" s="245"/>
      <c r="B184" s="244"/>
      <c r="C184" s="245"/>
      <c r="D184" s="1"/>
      <c r="E184" s="290"/>
      <c r="F184" s="1"/>
      <c r="L184" s="246"/>
      <c r="W184" s="1"/>
      <c r="Y184" s="1"/>
      <c r="AA184" s="1"/>
      <c r="AC184" s="1"/>
      <c r="AE184" s="1"/>
      <c r="AG184" s="1"/>
      <c r="AI184" s="1"/>
      <c r="AK184" s="1"/>
      <c r="AO184" s="1"/>
      <c r="AP184" s="1"/>
      <c r="AQ184" s="1"/>
      <c r="AR184" s="1"/>
      <c r="AT184" s="1"/>
      <c r="AU184" s="1"/>
      <c r="AV184" s="1"/>
      <c r="AW184" s="1"/>
      <c r="AX184" s="1"/>
      <c r="AY184" s="1"/>
    </row>
    <row r="185" spans="1:51" ht="15.75" customHeight="1" x14ac:dyDescent="0.2">
      <c r="A185" s="245"/>
      <c r="B185" s="244"/>
      <c r="C185" s="245"/>
      <c r="D185" s="1"/>
      <c r="E185" s="290"/>
      <c r="F185" s="1"/>
      <c r="L185" s="246"/>
      <c r="W185" s="1"/>
      <c r="Y185" s="1"/>
      <c r="AA185" s="1"/>
      <c r="AC185" s="1"/>
      <c r="AE185" s="1"/>
      <c r="AG185" s="1"/>
      <c r="AI185" s="1"/>
      <c r="AK185" s="1"/>
      <c r="AO185" s="1"/>
      <c r="AP185" s="1"/>
      <c r="AQ185" s="1"/>
      <c r="AR185" s="1"/>
      <c r="AT185" s="1"/>
      <c r="AU185" s="1"/>
      <c r="AV185" s="1"/>
      <c r="AW185" s="1"/>
      <c r="AX185" s="1"/>
      <c r="AY185" s="1"/>
    </row>
    <row r="186" spans="1:51" ht="15.75" customHeight="1" x14ac:dyDescent="0.2">
      <c r="A186" s="245"/>
      <c r="B186" s="244"/>
      <c r="C186" s="245"/>
      <c r="D186" s="1"/>
      <c r="E186" s="290"/>
      <c r="F186" s="1"/>
      <c r="L186" s="246"/>
      <c r="W186" s="1"/>
      <c r="Y186" s="1"/>
      <c r="AA186" s="1"/>
      <c r="AC186" s="1"/>
      <c r="AE186" s="1"/>
      <c r="AG186" s="1"/>
      <c r="AI186" s="1"/>
      <c r="AK186" s="1"/>
      <c r="AO186" s="1"/>
      <c r="AP186" s="1"/>
      <c r="AQ186" s="1"/>
      <c r="AR186" s="1"/>
      <c r="AT186" s="1"/>
      <c r="AU186" s="1"/>
      <c r="AV186" s="1"/>
      <c r="AW186" s="1"/>
      <c r="AX186" s="1"/>
      <c r="AY186" s="1"/>
    </row>
    <row r="187" spans="1:51" ht="15.75" customHeight="1" x14ac:dyDescent="0.2">
      <c r="A187" s="245"/>
      <c r="B187" s="244"/>
      <c r="C187" s="245"/>
      <c r="D187" s="1"/>
      <c r="E187" s="290"/>
      <c r="F187" s="1"/>
      <c r="L187" s="246"/>
      <c r="W187" s="1"/>
      <c r="Y187" s="1"/>
      <c r="AA187" s="1"/>
      <c r="AC187" s="1"/>
      <c r="AE187" s="1"/>
      <c r="AG187" s="1"/>
      <c r="AI187" s="1"/>
      <c r="AK187" s="1"/>
      <c r="AO187" s="1"/>
      <c r="AP187" s="1"/>
      <c r="AQ187" s="1"/>
      <c r="AR187" s="1"/>
      <c r="AT187" s="1"/>
      <c r="AU187" s="1"/>
      <c r="AV187" s="1"/>
      <c r="AW187" s="1"/>
      <c r="AX187" s="1"/>
      <c r="AY187" s="1"/>
    </row>
    <row r="188" spans="1:51" ht="15.75" customHeight="1" x14ac:dyDescent="0.2">
      <c r="A188" s="245"/>
      <c r="B188" s="244"/>
      <c r="C188" s="245"/>
      <c r="D188" s="1"/>
      <c r="E188" s="290"/>
      <c r="F188" s="1"/>
      <c r="L188" s="246"/>
      <c r="W188" s="1"/>
      <c r="Y188" s="1"/>
      <c r="AA188" s="1"/>
      <c r="AC188" s="1"/>
      <c r="AE188" s="1"/>
      <c r="AG188" s="1"/>
      <c r="AI188" s="1"/>
      <c r="AK188" s="1"/>
      <c r="AO188" s="1"/>
      <c r="AP188" s="1"/>
      <c r="AQ188" s="1"/>
      <c r="AR188" s="1"/>
      <c r="AT188" s="1"/>
      <c r="AU188" s="1"/>
      <c r="AV188" s="1"/>
      <c r="AW188" s="1"/>
      <c r="AX188" s="1"/>
      <c r="AY188" s="1"/>
    </row>
    <row r="189" spans="1:51" ht="15.75" customHeight="1" x14ac:dyDescent="0.2">
      <c r="A189" s="245"/>
      <c r="B189" s="244"/>
      <c r="C189" s="245"/>
      <c r="D189" s="1"/>
      <c r="E189" s="290"/>
      <c r="F189" s="1"/>
      <c r="L189" s="246"/>
      <c r="W189" s="1"/>
      <c r="Y189" s="1"/>
      <c r="AA189" s="1"/>
      <c r="AC189" s="1"/>
      <c r="AE189" s="1"/>
      <c r="AG189" s="1"/>
      <c r="AI189" s="1"/>
      <c r="AK189" s="1"/>
      <c r="AO189" s="1"/>
      <c r="AP189" s="1"/>
      <c r="AQ189" s="1"/>
      <c r="AR189" s="1"/>
      <c r="AT189" s="1"/>
      <c r="AU189" s="1"/>
      <c r="AV189" s="1"/>
      <c r="AW189" s="1"/>
      <c r="AX189" s="1"/>
      <c r="AY189" s="1"/>
    </row>
    <row r="190" spans="1:51" ht="15.75" customHeight="1" x14ac:dyDescent="0.2">
      <c r="A190" s="245"/>
      <c r="B190" s="244"/>
      <c r="C190" s="245"/>
      <c r="D190" s="1"/>
      <c r="E190" s="290"/>
      <c r="F190" s="1"/>
      <c r="L190" s="246"/>
      <c r="W190" s="1"/>
      <c r="Y190" s="1"/>
      <c r="AA190" s="1"/>
      <c r="AC190" s="1"/>
      <c r="AE190" s="1"/>
      <c r="AG190" s="1"/>
      <c r="AI190" s="1"/>
      <c r="AK190" s="1"/>
      <c r="AO190" s="1"/>
      <c r="AP190" s="1"/>
      <c r="AQ190" s="1"/>
      <c r="AR190" s="1"/>
      <c r="AT190" s="1"/>
      <c r="AU190" s="1"/>
      <c r="AV190" s="1"/>
      <c r="AW190" s="1"/>
      <c r="AX190" s="1"/>
      <c r="AY190" s="1"/>
    </row>
    <row r="191" spans="1:51" ht="15.75" customHeight="1" x14ac:dyDescent="0.2">
      <c r="A191" s="245"/>
      <c r="B191" s="244"/>
      <c r="C191" s="245"/>
      <c r="D191" s="1"/>
      <c r="E191" s="290"/>
      <c r="F191" s="1"/>
      <c r="L191" s="246"/>
      <c r="W191" s="1"/>
      <c r="Y191" s="1"/>
      <c r="AA191" s="1"/>
      <c r="AC191" s="1"/>
      <c r="AE191" s="1"/>
      <c r="AG191" s="1"/>
      <c r="AI191" s="1"/>
      <c r="AK191" s="1"/>
      <c r="AO191" s="1"/>
      <c r="AP191" s="1"/>
      <c r="AQ191" s="1"/>
      <c r="AR191" s="1"/>
      <c r="AT191" s="1"/>
      <c r="AU191" s="1"/>
      <c r="AV191" s="1"/>
      <c r="AW191" s="1"/>
      <c r="AX191" s="1"/>
      <c r="AY191" s="1"/>
    </row>
    <row r="192" spans="1:51" ht="15.75" customHeight="1" x14ac:dyDescent="0.2">
      <c r="A192" s="245"/>
      <c r="B192" s="244"/>
      <c r="C192" s="245"/>
      <c r="D192" s="1"/>
      <c r="E192" s="290"/>
      <c r="F192" s="1"/>
      <c r="L192" s="246"/>
      <c r="W192" s="1"/>
      <c r="Y192" s="1"/>
      <c r="AA192" s="1"/>
      <c r="AC192" s="1"/>
      <c r="AE192" s="1"/>
      <c r="AG192" s="1"/>
      <c r="AI192" s="1"/>
      <c r="AK192" s="1"/>
      <c r="AO192" s="1"/>
      <c r="AP192" s="1"/>
      <c r="AQ192" s="1"/>
      <c r="AR192" s="1"/>
      <c r="AT192" s="1"/>
      <c r="AU192" s="1"/>
      <c r="AV192" s="1"/>
      <c r="AW192" s="1"/>
      <c r="AX192" s="1"/>
      <c r="AY192" s="1"/>
    </row>
    <row r="193" spans="1:51" ht="15.75" customHeight="1" x14ac:dyDescent="0.2">
      <c r="A193" s="245"/>
      <c r="B193" s="244"/>
      <c r="C193" s="245"/>
      <c r="D193" s="1"/>
      <c r="E193" s="290"/>
      <c r="F193" s="1"/>
      <c r="L193" s="246"/>
      <c r="W193" s="1"/>
      <c r="Y193" s="1"/>
      <c r="AA193" s="1"/>
      <c r="AC193" s="1"/>
      <c r="AE193" s="1"/>
      <c r="AG193" s="1"/>
      <c r="AI193" s="1"/>
      <c r="AK193" s="1"/>
      <c r="AO193" s="1"/>
      <c r="AP193" s="1"/>
      <c r="AQ193" s="1"/>
      <c r="AR193" s="1"/>
      <c r="AT193" s="1"/>
      <c r="AU193" s="1"/>
      <c r="AV193" s="1"/>
      <c r="AW193" s="1"/>
      <c r="AX193" s="1"/>
      <c r="AY193" s="1"/>
    </row>
    <row r="194" spans="1:51" ht="15.75" customHeight="1" x14ac:dyDescent="0.2">
      <c r="A194" s="245"/>
      <c r="B194" s="244"/>
      <c r="C194" s="245"/>
      <c r="D194" s="1"/>
      <c r="E194" s="290"/>
      <c r="F194" s="1"/>
      <c r="L194" s="246"/>
      <c r="W194" s="1"/>
      <c r="Y194" s="1"/>
      <c r="AA194" s="1"/>
      <c r="AC194" s="1"/>
      <c r="AE194" s="1"/>
      <c r="AG194" s="1"/>
      <c r="AI194" s="1"/>
      <c r="AK194" s="1"/>
      <c r="AO194" s="1"/>
      <c r="AP194" s="1"/>
      <c r="AQ194" s="1"/>
      <c r="AR194" s="1"/>
      <c r="AT194" s="1"/>
      <c r="AU194" s="1"/>
      <c r="AV194" s="1"/>
      <c r="AW194" s="1"/>
      <c r="AX194" s="1"/>
      <c r="AY194" s="1"/>
    </row>
    <row r="195" spans="1:51" ht="15.75" customHeight="1" x14ac:dyDescent="0.2">
      <c r="A195" s="245"/>
      <c r="B195" s="244"/>
      <c r="C195" s="245"/>
      <c r="D195" s="1"/>
      <c r="E195" s="290"/>
      <c r="F195" s="1"/>
      <c r="L195" s="246"/>
      <c r="W195" s="1"/>
      <c r="Y195" s="1"/>
      <c r="AA195" s="1"/>
      <c r="AC195" s="1"/>
      <c r="AE195" s="1"/>
      <c r="AG195" s="1"/>
      <c r="AI195" s="1"/>
      <c r="AK195" s="1"/>
      <c r="AO195" s="1"/>
      <c r="AP195" s="1"/>
      <c r="AQ195" s="1"/>
      <c r="AR195" s="1"/>
      <c r="AT195" s="1"/>
      <c r="AU195" s="1"/>
      <c r="AV195" s="1"/>
      <c r="AW195" s="1"/>
      <c r="AX195" s="1"/>
      <c r="AY195" s="1"/>
    </row>
    <row r="196" spans="1:51" ht="15.75" customHeight="1" x14ac:dyDescent="0.2">
      <c r="A196" s="245"/>
      <c r="B196" s="244"/>
      <c r="C196" s="245"/>
      <c r="D196" s="1"/>
      <c r="E196" s="290"/>
      <c r="F196" s="1"/>
      <c r="L196" s="246"/>
      <c r="W196" s="1"/>
      <c r="Y196" s="1"/>
      <c r="AA196" s="1"/>
      <c r="AC196" s="1"/>
      <c r="AE196" s="1"/>
      <c r="AG196" s="1"/>
      <c r="AI196" s="1"/>
      <c r="AK196" s="1"/>
      <c r="AO196" s="1"/>
      <c r="AP196" s="1"/>
      <c r="AQ196" s="1"/>
      <c r="AR196" s="1"/>
      <c r="AT196" s="1"/>
      <c r="AU196" s="1"/>
      <c r="AV196" s="1"/>
      <c r="AW196" s="1"/>
      <c r="AX196" s="1"/>
      <c r="AY196" s="1"/>
    </row>
    <row r="197" spans="1:51" ht="15.75" customHeight="1" x14ac:dyDescent="0.2">
      <c r="A197" s="245"/>
      <c r="B197" s="244"/>
      <c r="C197" s="245"/>
      <c r="D197" s="1"/>
      <c r="E197" s="290"/>
      <c r="F197" s="1"/>
      <c r="L197" s="246"/>
      <c r="W197" s="1"/>
      <c r="Y197" s="1"/>
      <c r="AA197" s="1"/>
      <c r="AC197" s="1"/>
      <c r="AE197" s="1"/>
      <c r="AG197" s="1"/>
      <c r="AI197" s="1"/>
      <c r="AK197" s="1"/>
      <c r="AO197" s="1"/>
      <c r="AP197" s="1"/>
      <c r="AQ197" s="1"/>
      <c r="AR197" s="1"/>
      <c r="AT197" s="1"/>
      <c r="AU197" s="1"/>
      <c r="AV197" s="1"/>
      <c r="AW197" s="1"/>
      <c r="AX197" s="1"/>
      <c r="AY197" s="1"/>
    </row>
    <row r="198" spans="1:51" ht="15.75" customHeight="1" x14ac:dyDescent="0.2">
      <c r="A198" s="245"/>
      <c r="B198" s="244"/>
      <c r="C198" s="245"/>
      <c r="D198" s="1"/>
      <c r="E198" s="290"/>
      <c r="F198" s="1"/>
      <c r="L198" s="246"/>
      <c r="W198" s="1"/>
      <c r="Y198" s="1"/>
      <c r="AA198" s="1"/>
      <c r="AC198" s="1"/>
      <c r="AE198" s="1"/>
      <c r="AG198" s="1"/>
      <c r="AI198" s="1"/>
      <c r="AK198" s="1"/>
      <c r="AO198" s="1"/>
      <c r="AP198" s="1"/>
      <c r="AQ198" s="1"/>
      <c r="AR198" s="1"/>
      <c r="AT198" s="1"/>
      <c r="AU198" s="1"/>
      <c r="AV198" s="1"/>
      <c r="AW198" s="1"/>
      <c r="AX198" s="1"/>
      <c r="AY198" s="1"/>
    </row>
    <row r="199" spans="1:51" ht="15.75" customHeight="1" x14ac:dyDescent="0.2">
      <c r="A199" s="245"/>
      <c r="B199" s="244"/>
      <c r="C199" s="245"/>
      <c r="D199" s="1"/>
      <c r="E199" s="290"/>
      <c r="F199" s="1"/>
      <c r="L199" s="246"/>
      <c r="W199" s="1"/>
      <c r="Y199" s="1"/>
      <c r="AA199" s="1"/>
      <c r="AC199" s="1"/>
      <c r="AE199" s="1"/>
      <c r="AG199" s="1"/>
      <c r="AI199" s="1"/>
      <c r="AK199" s="1"/>
      <c r="AO199" s="1"/>
      <c r="AP199" s="1"/>
      <c r="AQ199" s="1"/>
      <c r="AR199" s="1"/>
      <c r="AT199" s="1"/>
      <c r="AU199" s="1"/>
      <c r="AV199" s="1"/>
      <c r="AW199" s="1"/>
      <c r="AX199" s="1"/>
      <c r="AY199" s="1"/>
    </row>
    <row r="200" spans="1:51" ht="15.75" customHeight="1" x14ac:dyDescent="0.2">
      <c r="A200" s="245"/>
      <c r="B200" s="244"/>
      <c r="C200" s="245"/>
      <c r="D200" s="1"/>
      <c r="E200" s="290"/>
      <c r="F200" s="1"/>
      <c r="L200" s="246"/>
      <c r="W200" s="1"/>
      <c r="Y200" s="1"/>
      <c r="AA200" s="1"/>
      <c r="AC200" s="1"/>
      <c r="AE200" s="1"/>
      <c r="AG200" s="1"/>
      <c r="AI200" s="1"/>
      <c r="AK200" s="1"/>
      <c r="AO200" s="1"/>
      <c r="AP200" s="1"/>
      <c r="AQ200" s="1"/>
      <c r="AR200" s="1"/>
      <c r="AT200" s="1"/>
      <c r="AU200" s="1"/>
      <c r="AV200" s="1"/>
      <c r="AW200" s="1"/>
      <c r="AX200" s="1"/>
      <c r="AY200" s="1"/>
    </row>
    <row r="201" spans="1:51" ht="15.75" customHeight="1" x14ac:dyDescent="0.2">
      <c r="A201" s="245"/>
      <c r="B201" s="244"/>
      <c r="C201" s="245"/>
      <c r="D201" s="1"/>
      <c r="E201" s="290"/>
      <c r="F201" s="1"/>
      <c r="L201" s="246"/>
      <c r="W201" s="1"/>
      <c r="Y201" s="1"/>
      <c r="AA201" s="1"/>
      <c r="AC201" s="1"/>
      <c r="AE201" s="1"/>
      <c r="AG201" s="1"/>
      <c r="AI201" s="1"/>
      <c r="AK201" s="1"/>
      <c r="AO201" s="1"/>
      <c r="AP201" s="1"/>
      <c r="AQ201" s="1"/>
      <c r="AR201" s="1"/>
      <c r="AT201" s="1"/>
      <c r="AU201" s="1"/>
      <c r="AV201" s="1"/>
      <c r="AW201" s="1"/>
      <c r="AX201" s="1"/>
      <c r="AY201" s="1"/>
    </row>
    <row r="202" spans="1:51" ht="15.75" customHeight="1" x14ac:dyDescent="0.2">
      <c r="A202" s="245"/>
      <c r="B202" s="244"/>
      <c r="C202" s="245"/>
      <c r="D202" s="1"/>
      <c r="E202" s="290"/>
      <c r="F202" s="1"/>
      <c r="L202" s="246"/>
      <c r="W202" s="1"/>
      <c r="Y202" s="1"/>
      <c r="AA202" s="1"/>
      <c r="AC202" s="1"/>
      <c r="AE202" s="1"/>
      <c r="AG202" s="1"/>
      <c r="AI202" s="1"/>
      <c r="AK202" s="1"/>
      <c r="AO202" s="1"/>
      <c r="AP202" s="1"/>
      <c r="AQ202" s="1"/>
      <c r="AR202" s="1"/>
      <c r="AT202" s="1"/>
      <c r="AU202" s="1"/>
      <c r="AV202" s="1"/>
      <c r="AW202" s="1"/>
      <c r="AX202" s="1"/>
      <c r="AY202" s="1"/>
    </row>
    <row r="203" spans="1:51" ht="15.75" customHeight="1" x14ac:dyDescent="0.2">
      <c r="A203" s="245"/>
      <c r="B203" s="244"/>
      <c r="C203" s="245"/>
      <c r="D203" s="1"/>
      <c r="E203" s="290"/>
      <c r="F203" s="1"/>
      <c r="L203" s="246"/>
      <c r="W203" s="1"/>
      <c r="Y203" s="1"/>
      <c r="AA203" s="1"/>
      <c r="AC203" s="1"/>
      <c r="AE203" s="1"/>
      <c r="AG203" s="1"/>
      <c r="AI203" s="1"/>
      <c r="AK203" s="1"/>
      <c r="AO203" s="1"/>
      <c r="AP203" s="1"/>
      <c r="AQ203" s="1"/>
      <c r="AR203" s="1"/>
      <c r="AT203" s="1"/>
      <c r="AU203" s="1"/>
      <c r="AV203" s="1"/>
      <c r="AW203" s="1"/>
      <c r="AX203" s="1"/>
      <c r="AY203" s="1"/>
    </row>
    <row r="204" spans="1:51" ht="15.75" customHeight="1" x14ac:dyDescent="0.2">
      <c r="A204" s="245"/>
      <c r="B204" s="244"/>
      <c r="C204" s="245"/>
      <c r="D204" s="1"/>
      <c r="E204" s="290"/>
      <c r="F204" s="1"/>
      <c r="L204" s="246"/>
      <c r="W204" s="1"/>
      <c r="Y204" s="1"/>
      <c r="AA204" s="1"/>
      <c r="AC204" s="1"/>
      <c r="AE204" s="1"/>
      <c r="AG204" s="1"/>
      <c r="AI204" s="1"/>
      <c r="AK204" s="1"/>
      <c r="AO204" s="1"/>
      <c r="AP204" s="1"/>
      <c r="AQ204" s="1"/>
      <c r="AR204" s="1"/>
      <c r="AT204" s="1"/>
      <c r="AU204" s="1"/>
      <c r="AV204" s="1"/>
      <c r="AW204" s="1"/>
      <c r="AX204" s="1"/>
      <c r="AY204" s="1"/>
    </row>
    <row r="205" spans="1:51" ht="15.75" customHeight="1" x14ac:dyDescent="0.2">
      <c r="A205" s="245"/>
      <c r="B205" s="244"/>
      <c r="C205" s="245"/>
      <c r="D205" s="1"/>
      <c r="E205" s="290"/>
      <c r="F205" s="1"/>
      <c r="L205" s="246"/>
      <c r="W205" s="1"/>
      <c r="Y205" s="1"/>
      <c r="AA205" s="1"/>
      <c r="AC205" s="1"/>
      <c r="AE205" s="1"/>
      <c r="AG205" s="1"/>
      <c r="AI205" s="1"/>
      <c r="AK205" s="1"/>
      <c r="AO205" s="1"/>
      <c r="AP205" s="1"/>
      <c r="AQ205" s="1"/>
      <c r="AR205" s="1"/>
      <c r="AT205" s="1"/>
      <c r="AU205" s="1"/>
      <c r="AV205" s="1"/>
      <c r="AW205" s="1"/>
      <c r="AX205" s="1"/>
      <c r="AY205" s="1"/>
    </row>
    <row r="206" spans="1:51" ht="15.75" customHeight="1" x14ac:dyDescent="0.2">
      <c r="A206" s="245"/>
      <c r="B206" s="244"/>
      <c r="C206" s="245"/>
      <c r="D206" s="1"/>
      <c r="E206" s="290"/>
      <c r="F206" s="1"/>
      <c r="L206" s="246"/>
      <c r="W206" s="1"/>
      <c r="Y206" s="1"/>
      <c r="AA206" s="1"/>
      <c r="AC206" s="1"/>
      <c r="AE206" s="1"/>
      <c r="AG206" s="1"/>
      <c r="AI206" s="1"/>
      <c r="AK206" s="1"/>
      <c r="AO206" s="1"/>
      <c r="AP206" s="1"/>
      <c r="AQ206" s="1"/>
      <c r="AR206" s="1"/>
      <c r="AT206" s="1"/>
      <c r="AU206" s="1"/>
      <c r="AV206" s="1"/>
      <c r="AW206" s="1"/>
      <c r="AX206" s="1"/>
      <c r="AY206" s="1"/>
    </row>
    <row r="207" spans="1:51" ht="15.75" customHeight="1" x14ac:dyDescent="0.2">
      <c r="A207" s="245"/>
      <c r="B207" s="244"/>
      <c r="C207" s="245"/>
      <c r="D207" s="1"/>
      <c r="E207" s="290"/>
      <c r="F207" s="1"/>
      <c r="L207" s="246"/>
      <c r="W207" s="1"/>
      <c r="Y207" s="1"/>
      <c r="AA207" s="1"/>
      <c r="AC207" s="1"/>
      <c r="AE207" s="1"/>
      <c r="AG207" s="1"/>
      <c r="AI207" s="1"/>
      <c r="AK207" s="1"/>
      <c r="AO207" s="1"/>
      <c r="AP207" s="1"/>
      <c r="AQ207" s="1"/>
      <c r="AR207" s="1"/>
      <c r="AT207" s="1"/>
      <c r="AU207" s="1"/>
      <c r="AV207" s="1"/>
      <c r="AW207" s="1"/>
      <c r="AX207" s="1"/>
      <c r="AY207" s="1"/>
    </row>
    <row r="208" spans="1:51" ht="15.75" customHeight="1" x14ac:dyDescent="0.2">
      <c r="A208" s="245"/>
      <c r="B208" s="244"/>
      <c r="C208" s="245"/>
      <c r="D208" s="1"/>
      <c r="E208" s="290"/>
      <c r="F208" s="1"/>
      <c r="L208" s="246"/>
      <c r="W208" s="1"/>
      <c r="Y208" s="1"/>
      <c r="AA208" s="1"/>
      <c r="AC208" s="1"/>
      <c r="AE208" s="1"/>
      <c r="AG208" s="1"/>
      <c r="AI208" s="1"/>
      <c r="AK208" s="1"/>
      <c r="AO208" s="1"/>
      <c r="AP208" s="1"/>
      <c r="AQ208" s="1"/>
      <c r="AR208" s="1"/>
      <c r="AT208" s="1"/>
      <c r="AU208" s="1"/>
      <c r="AV208" s="1"/>
      <c r="AW208" s="1"/>
      <c r="AX208" s="1"/>
      <c r="AY208" s="1"/>
    </row>
    <row r="209" spans="1:51" ht="15.75" customHeight="1" x14ac:dyDescent="0.2">
      <c r="A209" s="245"/>
      <c r="B209" s="244"/>
      <c r="C209" s="245"/>
      <c r="D209" s="1"/>
      <c r="E209" s="290"/>
      <c r="F209" s="1"/>
      <c r="L209" s="246"/>
      <c r="W209" s="1"/>
      <c r="Y209" s="1"/>
      <c r="AA209" s="1"/>
      <c r="AC209" s="1"/>
      <c r="AE209" s="1"/>
      <c r="AG209" s="1"/>
      <c r="AI209" s="1"/>
      <c r="AK209" s="1"/>
      <c r="AO209" s="1"/>
      <c r="AP209" s="1"/>
      <c r="AQ209" s="1"/>
      <c r="AR209" s="1"/>
      <c r="AT209" s="1"/>
      <c r="AU209" s="1"/>
      <c r="AV209" s="1"/>
      <c r="AW209" s="1"/>
      <c r="AX209" s="1"/>
      <c r="AY209" s="1"/>
    </row>
    <row r="210" spans="1:51" ht="15.75" customHeight="1" x14ac:dyDescent="0.2">
      <c r="A210" s="245"/>
      <c r="B210" s="244"/>
      <c r="C210" s="245"/>
      <c r="D210" s="1"/>
      <c r="E210" s="290"/>
      <c r="F210" s="1"/>
      <c r="L210" s="246"/>
      <c r="W210" s="1"/>
      <c r="Y210" s="1"/>
      <c r="AA210" s="1"/>
      <c r="AC210" s="1"/>
      <c r="AE210" s="1"/>
      <c r="AG210" s="1"/>
      <c r="AI210" s="1"/>
      <c r="AK210" s="1"/>
      <c r="AO210" s="1"/>
      <c r="AP210" s="1"/>
      <c r="AQ210" s="1"/>
      <c r="AR210" s="1"/>
      <c r="AT210" s="1"/>
      <c r="AU210" s="1"/>
      <c r="AV210" s="1"/>
      <c r="AW210" s="1"/>
      <c r="AX210" s="1"/>
      <c r="AY210" s="1"/>
    </row>
    <row r="211" spans="1:51" ht="15.75" customHeight="1" x14ac:dyDescent="0.2">
      <c r="A211" s="245"/>
      <c r="B211" s="244"/>
      <c r="C211" s="245"/>
      <c r="D211" s="1"/>
      <c r="E211" s="290"/>
      <c r="F211" s="1"/>
      <c r="L211" s="246"/>
      <c r="W211" s="1"/>
      <c r="Y211" s="1"/>
      <c r="AA211" s="1"/>
      <c r="AC211" s="1"/>
      <c r="AE211" s="1"/>
      <c r="AG211" s="1"/>
      <c r="AI211" s="1"/>
      <c r="AK211" s="1"/>
      <c r="AO211" s="1"/>
      <c r="AP211" s="1"/>
      <c r="AQ211" s="1"/>
      <c r="AR211" s="1"/>
      <c r="AT211" s="1"/>
      <c r="AU211" s="1"/>
      <c r="AV211" s="1"/>
      <c r="AW211" s="1"/>
      <c r="AX211" s="1"/>
      <c r="AY211" s="1"/>
    </row>
    <row r="212" spans="1:51" ht="15.75" customHeight="1" x14ac:dyDescent="0.2">
      <c r="A212" s="245"/>
      <c r="B212" s="244"/>
      <c r="C212" s="245"/>
      <c r="D212" s="1"/>
      <c r="E212" s="290"/>
      <c r="F212" s="1"/>
      <c r="L212" s="246"/>
      <c r="W212" s="1"/>
      <c r="Y212" s="1"/>
      <c r="AA212" s="1"/>
      <c r="AC212" s="1"/>
      <c r="AE212" s="1"/>
      <c r="AG212" s="1"/>
      <c r="AI212" s="1"/>
      <c r="AK212" s="1"/>
      <c r="AO212" s="1"/>
      <c r="AP212" s="1"/>
      <c r="AQ212" s="1"/>
      <c r="AR212" s="1"/>
      <c r="AT212" s="1"/>
      <c r="AU212" s="1"/>
      <c r="AV212" s="1"/>
      <c r="AW212" s="1"/>
      <c r="AX212" s="1"/>
      <c r="AY212" s="1"/>
    </row>
    <row r="213" spans="1:51" ht="15.75" customHeight="1" x14ac:dyDescent="0.2">
      <c r="A213" s="245"/>
      <c r="B213" s="244"/>
      <c r="C213" s="245"/>
      <c r="D213" s="1"/>
      <c r="E213" s="290"/>
      <c r="F213" s="1"/>
      <c r="L213" s="246"/>
      <c r="W213" s="1"/>
      <c r="Y213" s="1"/>
      <c r="AA213" s="1"/>
      <c r="AC213" s="1"/>
      <c r="AE213" s="1"/>
      <c r="AG213" s="1"/>
      <c r="AI213" s="1"/>
      <c r="AK213" s="1"/>
      <c r="AO213" s="1"/>
      <c r="AP213" s="1"/>
      <c r="AQ213" s="1"/>
      <c r="AR213" s="1"/>
      <c r="AT213" s="1"/>
      <c r="AU213" s="1"/>
      <c r="AV213" s="1"/>
      <c r="AW213" s="1"/>
      <c r="AX213" s="1"/>
      <c r="AY213" s="1"/>
    </row>
    <row r="214" spans="1:51" ht="15.75" customHeight="1" x14ac:dyDescent="0.2">
      <c r="A214" s="245"/>
      <c r="B214" s="244"/>
      <c r="C214" s="245"/>
      <c r="D214" s="1"/>
      <c r="E214" s="290"/>
      <c r="F214" s="1"/>
      <c r="L214" s="246"/>
      <c r="W214" s="1"/>
      <c r="Y214" s="1"/>
      <c r="AA214" s="1"/>
      <c r="AC214" s="1"/>
      <c r="AE214" s="1"/>
      <c r="AG214" s="1"/>
      <c r="AI214" s="1"/>
      <c r="AK214" s="1"/>
      <c r="AO214" s="1"/>
      <c r="AP214" s="1"/>
      <c r="AQ214" s="1"/>
      <c r="AR214" s="1"/>
      <c r="AT214" s="1"/>
      <c r="AU214" s="1"/>
      <c r="AV214" s="1"/>
      <c r="AW214" s="1"/>
      <c r="AX214" s="1"/>
      <c r="AY214" s="1"/>
    </row>
    <row r="215" spans="1:51" ht="15.75" customHeight="1" x14ac:dyDescent="0.2">
      <c r="A215" s="245"/>
      <c r="B215" s="244"/>
      <c r="C215" s="245"/>
      <c r="D215" s="1"/>
      <c r="E215" s="290"/>
      <c r="F215" s="1"/>
      <c r="L215" s="246"/>
      <c r="W215" s="1"/>
      <c r="Y215" s="1"/>
      <c r="AA215" s="1"/>
      <c r="AC215" s="1"/>
      <c r="AE215" s="1"/>
      <c r="AG215" s="1"/>
      <c r="AI215" s="1"/>
      <c r="AK215" s="1"/>
      <c r="AO215" s="1"/>
      <c r="AP215" s="1"/>
      <c r="AQ215" s="1"/>
      <c r="AR215" s="1"/>
      <c r="AT215" s="1"/>
      <c r="AU215" s="1"/>
      <c r="AV215" s="1"/>
      <c r="AW215" s="1"/>
      <c r="AX215" s="1"/>
      <c r="AY215" s="1"/>
    </row>
    <row r="216" spans="1:51" ht="15.75" customHeight="1" x14ac:dyDescent="0.2">
      <c r="A216" s="245"/>
      <c r="B216" s="244"/>
      <c r="C216" s="245"/>
      <c r="D216" s="1"/>
      <c r="E216" s="290"/>
      <c r="F216" s="1"/>
      <c r="L216" s="246"/>
      <c r="W216" s="1"/>
      <c r="Y216" s="1"/>
      <c r="AA216" s="1"/>
      <c r="AC216" s="1"/>
      <c r="AE216" s="1"/>
      <c r="AG216" s="1"/>
      <c r="AI216" s="1"/>
      <c r="AK216" s="1"/>
      <c r="AO216" s="1"/>
      <c r="AP216" s="1"/>
      <c r="AQ216" s="1"/>
      <c r="AR216" s="1"/>
      <c r="AT216" s="1"/>
      <c r="AU216" s="1"/>
      <c r="AV216" s="1"/>
      <c r="AW216" s="1"/>
      <c r="AX216" s="1"/>
      <c r="AY216" s="1"/>
    </row>
    <row r="217" spans="1:51" ht="15.75" customHeight="1" x14ac:dyDescent="0.2">
      <c r="A217" s="245"/>
      <c r="B217" s="244"/>
      <c r="C217" s="245"/>
      <c r="D217" s="1"/>
      <c r="E217" s="290"/>
      <c r="F217" s="1"/>
      <c r="L217" s="246"/>
      <c r="W217" s="1"/>
      <c r="Y217" s="1"/>
      <c r="AA217" s="1"/>
      <c r="AC217" s="1"/>
      <c r="AE217" s="1"/>
      <c r="AG217" s="1"/>
      <c r="AI217" s="1"/>
      <c r="AK217" s="1"/>
      <c r="AO217" s="1"/>
      <c r="AP217" s="1"/>
      <c r="AQ217" s="1"/>
      <c r="AR217" s="1"/>
      <c r="AT217" s="1"/>
      <c r="AU217" s="1"/>
      <c r="AV217" s="1"/>
      <c r="AW217" s="1"/>
      <c r="AX217" s="1"/>
      <c r="AY217" s="1"/>
    </row>
    <row r="218" spans="1:51" ht="15.75" customHeight="1" x14ac:dyDescent="0.2">
      <c r="A218" s="245"/>
      <c r="B218" s="244"/>
      <c r="C218" s="245"/>
      <c r="D218" s="1"/>
      <c r="E218" s="290"/>
      <c r="F218" s="1"/>
      <c r="L218" s="246"/>
      <c r="W218" s="1"/>
      <c r="Y218" s="1"/>
      <c r="AA218" s="1"/>
      <c r="AC218" s="1"/>
      <c r="AE218" s="1"/>
      <c r="AG218" s="1"/>
      <c r="AI218" s="1"/>
      <c r="AK218" s="1"/>
      <c r="AO218" s="1"/>
      <c r="AP218" s="1"/>
      <c r="AQ218" s="1"/>
      <c r="AR218" s="1"/>
      <c r="AT218" s="1"/>
      <c r="AU218" s="1"/>
      <c r="AV218" s="1"/>
      <c r="AW218" s="1"/>
      <c r="AX218" s="1"/>
      <c r="AY218" s="1"/>
    </row>
    <row r="219" spans="1:51" ht="15.75" customHeight="1" x14ac:dyDescent="0.2">
      <c r="A219" s="245"/>
      <c r="B219" s="244"/>
      <c r="C219" s="245"/>
      <c r="D219" s="1"/>
      <c r="E219" s="290"/>
      <c r="F219" s="1"/>
      <c r="L219" s="246"/>
      <c r="W219" s="1"/>
      <c r="Y219" s="1"/>
      <c r="AA219" s="1"/>
      <c r="AC219" s="1"/>
      <c r="AE219" s="1"/>
      <c r="AG219" s="1"/>
      <c r="AI219" s="1"/>
      <c r="AK219" s="1"/>
      <c r="AO219" s="1"/>
      <c r="AP219" s="1"/>
      <c r="AQ219" s="1"/>
      <c r="AR219" s="1"/>
      <c r="AT219" s="1"/>
      <c r="AU219" s="1"/>
      <c r="AV219" s="1"/>
      <c r="AW219" s="1"/>
      <c r="AX219" s="1"/>
      <c r="AY219" s="1"/>
    </row>
    <row r="220" spans="1:51" ht="15.75" customHeight="1" x14ac:dyDescent="0.2">
      <c r="A220" s="245"/>
      <c r="B220" s="244"/>
      <c r="C220" s="245"/>
      <c r="D220" s="1"/>
      <c r="E220" s="290"/>
      <c r="F220" s="1"/>
      <c r="L220" s="246"/>
      <c r="W220" s="1"/>
      <c r="Y220" s="1"/>
      <c r="AA220" s="1"/>
      <c r="AC220" s="1"/>
      <c r="AE220" s="1"/>
      <c r="AG220" s="1"/>
      <c r="AI220" s="1"/>
      <c r="AK220" s="1"/>
      <c r="AO220" s="1"/>
      <c r="AP220" s="1"/>
      <c r="AQ220" s="1"/>
      <c r="AR220" s="1"/>
      <c r="AT220" s="1"/>
      <c r="AU220" s="1"/>
      <c r="AV220" s="1"/>
      <c r="AW220" s="1"/>
      <c r="AX220" s="1"/>
      <c r="AY220" s="1"/>
    </row>
    <row r="221" spans="1:51" ht="15.75" customHeight="1" x14ac:dyDescent="0.2">
      <c r="A221" s="245"/>
      <c r="B221" s="244"/>
      <c r="C221" s="245"/>
      <c r="D221" s="1"/>
      <c r="E221" s="290"/>
      <c r="F221" s="1"/>
      <c r="L221" s="246"/>
      <c r="W221" s="1"/>
      <c r="Y221" s="1"/>
      <c r="AA221" s="1"/>
      <c r="AC221" s="1"/>
      <c r="AE221" s="1"/>
      <c r="AG221" s="1"/>
      <c r="AI221" s="1"/>
      <c r="AK221" s="1"/>
      <c r="AO221" s="1"/>
      <c r="AP221" s="1"/>
      <c r="AQ221" s="1"/>
      <c r="AR221" s="1"/>
      <c r="AT221" s="1"/>
      <c r="AU221" s="1"/>
      <c r="AV221" s="1"/>
      <c r="AW221" s="1"/>
      <c r="AX221" s="1"/>
      <c r="AY221" s="1"/>
    </row>
    <row r="222" spans="1:51" ht="15.75" customHeight="1" x14ac:dyDescent="0.2">
      <c r="A222" s="245"/>
      <c r="B222" s="244"/>
      <c r="C222" s="245"/>
      <c r="D222" s="1"/>
      <c r="E222" s="290"/>
      <c r="F222" s="1"/>
      <c r="L222" s="246"/>
      <c r="W222" s="1"/>
      <c r="Y222" s="1"/>
      <c r="AA222" s="1"/>
      <c r="AC222" s="1"/>
      <c r="AE222" s="1"/>
      <c r="AG222" s="1"/>
      <c r="AI222" s="1"/>
      <c r="AK222" s="1"/>
      <c r="AO222" s="1"/>
      <c r="AP222" s="1"/>
      <c r="AQ222" s="1"/>
      <c r="AR222" s="1"/>
      <c r="AT222" s="1"/>
      <c r="AU222" s="1"/>
      <c r="AV222" s="1"/>
      <c r="AW222" s="1"/>
      <c r="AX222" s="1"/>
      <c r="AY222" s="1"/>
    </row>
    <row r="223" spans="1:51" ht="15.75" customHeight="1" x14ac:dyDescent="0.2">
      <c r="A223" s="245"/>
      <c r="B223" s="244"/>
      <c r="C223" s="245"/>
      <c r="D223" s="1"/>
      <c r="E223" s="290"/>
      <c r="F223" s="1"/>
      <c r="L223" s="246"/>
      <c r="W223" s="1"/>
      <c r="Y223" s="1"/>
      <c r="AA223" s="1"/>
      <c r="AC223" s="1"/>
      <c r="AE223" s="1"/>
      <c r="AG223" s="1"/>
      <c r="AI223" s="1"/>
      <c r="AK223" s="1"/>
      <c r="AO223" s="1"/>
      <c r="AP223" s="1"/>
      <c r="AQ223" s="1"/>
      <c r="AR223" s="1"/>
      <c r="AT223" s="1"/>
      <c r="AU223" s="1"/>
      <c r="AV223" s="1"/>
      <c r="AW223" s="1"/>
      <c r="AX223" s="1"/>
      <c r="AY223" s="1"/>
    </row>
    <row r="224" spans="1:51" ht="15.75" customHeight="1" x14ac:dyDescent="0.2">
      <c r="A224" s="245"/>
      <c r="B224" s="244"/>
      <c r="C224" s="245"/>
      <c r="D224" s="1"/>
      <c r="E224" s="290"/>
      <c r="F224" s="1"/>
      <c r="L224" s="246"/>
      <c r="W224" s="1"/>
      <c r="Y224" s="1"/>
      <c r="AA224" s="1"/>
      <c r="AC224" s="1"/>
      <c r="AE224" s="1"/>
      <c r="AG224" s="1"/>
      <c r="AI224" s="1"/>
      <c r="AK224" s="1"/>
      <c r="AO224" s="1"/>
      <c r="AP224" s="1"/>
      <c r="AQ224" s="1"/>
      <c r="AR224" s="1"/>
      <c r="AT224" s="1"/>
      <c r="AU224" s="1"/>
      <c r="AV224" s="1"/>
      <c r="AW224" s="1"/>
      <c r="AX224" s="1"/>
      <c r="AY224" s="1"/>
    </row>
    <row r="225" spans="1:51" ht="15.75" customHeight="1" x14ac:dyDescent="0.2">
      <c r="A225" s="245"/>
      <c r="B225" s="244"/>
      <c r="C225" s="245"/>
      <c r="D225" s="1"/>
      <c r="E225" s="290"/>
      <c r="F225" s="1"/>
      <c r="L225" s="246"/>
      <c r="W225" s="1"/>
      <c r="Y225" s="1"/>
      <c r="AA225" s="1"/>
      <c r="AC225" s="1"/>
      <c r="AE225" s="1"/>
      <c r="AG225" s="1"/>
      <c r="AI225" s="1"/>
      <c r="AK225" s="1"/>
      <c r="AO225" s="1"/>
      <c r="AP225" s="1"/>
      <c r="AQ225" s="1"/>
      <c r="AR225" s="1"/>
      <c r="AT225" s="1"/>
      <c r="AU225" s="1"/>
      <c r="AV225" s="1"/>
      <c r="AW225" s="1"/>
      <c r="AX225" s="1"/>
      <c r="AY225" s="1"/>
    </row>
    <row r="226" spans="1:51" ht="15.75" customHeight="1" x14ac:dyDescent="0.2">
      <c r="A226" s="245"/>
      <c r="B226" s="244"/>
      <c r="C226" s="245"/>
      <c r="D226" s="1"/>
      <c r="E226" s="290"/>
      <c r="F226" s="1"/>
      <c r="L226" s="246"/>
      <c r="W226" s="1"/>
      <c r="Y226" s="1"/>
      <c r="AA226" s="1"/>
      <c r="AC226" s="1"/>
      <c r="AE226" s="1"/>
      <c r="AG226" s="1"/>
      <c r="AI226" s="1"/>
      <c r="AK226" s="1"/>
      <c r="AO226" s="1"/>
      <c r="AP226" s="1"/>
      <c r="AQ226" s="1"/>
      <c r="AR226" s="1"/>
      <c r="AT226" s="1"/>
      <c r="AU226" s="1"/>
      <c r="AV226" s="1"/>
      <c r="AW226" s="1"/>
      <c r="AX226" s="1"/>
      <c r="AY226" s="1"/>
    </row>
    <row r="227" spans="1:51" ht="15.75" customHeight="1" x14ac:dyDescent="0.2">
      <c r="A227" s="245"/>
      <c r="B227" s="244"/>
      <c r="C227" s="245"/>
      <c r="D227" s="1"/>
      <c r="E227" s="290"/>
      <c r="F227" s="1"/>
      <c r="L227" s="246"/>
      <c r="W227" s="1"/>
      <c r="Y227" s="1"/>
      <c r="AA227" s="1"/>
      <c r="AC227" s="1"/>
      <c r="AE227" s="1"/>
      <c r="AG227" s="1"/>
      <c r="AI227" s="1"/>
      <c r="AK227" s="1"/>
      <c r="AO227" s="1"/>
      <c r="AP227" s="1"/>
      <c r="AQ227" s="1"/>
      <c r="AR227" s="1"/>
      <c r="AT227" s="1"/>
      <c r="AU227" s="1"/>
      <c r="AV227" s="1"/>
      <c r="AW227" s="1"/>
      <c r="AX227" s="1"/>
      <c r="AY227" s="1"/>
    </row>
    <row r="228" spans="1:51" ht="15.75" customHeight="1" x14ac:dyDescent="0.2">
      <c r="A228" s="245"/>
      <c r="B228" s="244"/>
      <c r="C228" s="245"/>
      <c r="D228" s="1"/>
      <c r="E228" s="290"/>
      <c r="F228" s="1"/>
      <c r="L228" s="246"/>
      <c r="W228" s="1"/>
      <c r="Y228" s="1"/>
      <c r="AA228" s="1"/>
      <c r="AC228" s="1"/>
      <c r="AE228" s="1"/>
      <c r="AG228" s="1"/>
      <c r="AI228" s="1"/>
      <c r="AK228" s="1"/>
      <c r="AO228" s="1"/>
      <c r="AP228" s="1"/>
      <c r="AQ228" s="1"/>
      <c r="AR228" s="1"/>
      <c r="AT228" s="1"/>
      <c r="AU228" s="1"/>
      <c r="AV228" s="1"/>
      <c r="AW228" s="1"/>
      <c r="AX228" s="1"/>
      <c r="AY228" s="1"/>
    </row>
    <row r="229" spans="1:51" ht="15.75" customHeight="1" x14ac:dyDescent="0.2">
      <c r="A229" s="245"/>
      <c r="B229" s="244"/>
      <c r="C229" s="245"/>
      <c r="D229" s="1"/>
      <c r="E229" s="290"/>
      <c r="F229" s="1"/>
      <c r="L229" s="246"/>
      <c r="W229" s="1"/>
      <c r="Y229" s="1"/>
      <c r="AA229" s="1"/>
      <c r="AC229" s="1"/>
      <c r="AE229" s="1"/>
      <c r="AG229" s="1"/>
      <c r="AI229" s="1"/>
      <c r="AK229" s="1"/>
      <c r="AO229" s="1"/>
      <c r="AP229" s="1"/>
      <c r="AQ229" s="1"/>
      <c r="AR229" s="1"/>
      <c r="AT229" s="1"/>
      <c r="AU229" s="1"/>
      <c r="AV229" s="1"/>
      <c r="AW229" s="1"/>
      <c r="AX229" s="1"/>
      <c r="AY229" s="1"/>
    </row>
    <row r="230" spans="1:51" ht="15.75" customHeight="1" x14ac:dyDescent="0.2">
      <c r="A230" s="245"/>
      <c r="B230" s="244"/>
      <c r="C230" s="245"/>
      <c r="D230" s="1"/>
      <c r="E230" s="290"/>
      <c r="F230" s="1"/>
      <c r="L230" s="246"/>
      <c r="W230" s="1"/>
      <c r="Y230" s="1"/>
      <c r="AA230" s="1"/>
      <c r="AC230" s="1"/>
      <c r="AE230" s="1"/>
      <c r="AG230" s="1"/>
      <c r="AI230" s="1"/>
      <c r="AK230" s="1"/>
      <c r="AO230" s="1"/>
      <c r="AP230" s="1"/>
      <c r="AQ230" s="1"/>
      <c r="AR230" s="1"/>
      <c r="AT230" s="1"/>
      <c r="AU230" s="1"/>
      <c r="AV230" s="1"/>
      <c r="AW230" s="1"/>
      <c r="AX230" s="1"/>
      <c r="AY230" s="1"/>
    </row>
    <row r="231" spans="1:51" ht="15.75" customHeight="1" x14ac:dyDescent="0.2">
      <c r="A231" s="245"/>
      <c r="B231" s="244"/>
      <c r="C231" s="245"/>
      <c r="D231" s="1"/>
      <c r="E231" s="290"/>
      <c r="F231" s="1"/>
      <c r="L231" s="246"/>
      <c r="W231" s="1"/>
      <c r="Y231" s="1"/>
      <c r="AA231" s="1"/>
      <c r="AC231" s="1"/>
      <c r="AE231" s="1"/>
      <c r="AG231" s="1"/>
      <c r="AI231" s="1"/>
      <c r="AK231" s="1"/>
      <c r="AO231" s="1"/>
      <c r="AP231" s="1"/>
      <c r="AQ231" s="1"/>
      <c r="AR231" s="1"/>
      <c r="AT231" s="1"/>
      <c r="AU231" s="1"/>
      <c r="AV231" s="1"/>
      <c r="AW231" s="1"/>
      <c r="AX231" s="1"/>
      <c r="AY231" s="1"/>
    </row>
    <row r="232" spans="1:51" ht="15.75" customHeight="1" x14ac:dyDescent="0.2">
      <c r="A232" s="245"/>
      <c r="B232" s="244"/>
      <c r="C232" s="245"/>
      <c r="D232" s="1"/>
      <c r="E232" s="290"/>
      <c r="F232" s="1"/>
      <c r="L232" s="246"/>
      <c r="W232" s="1"/>
      <c r="Y232" s="1"/>
      <c r="AA232" s="1"/>
      <c r="AC232" s="1"/>
      <c r="AE232" s="1"/>
      <c r="AG232" s="1"/>
      <c r="AI232" s="1"/>
      <c r="AK232" s="1"/>
      <c r="AO232" s="1"/>
      <c r="AP232" s="1"/>
      <c r="AQ232" s="1"/>
      <c r="AR232" s="1"/>
      <c r="AT232" s="1"/>
      <c r="AU232" s="1"/>
      <c r="AV232" s="1"/>
      <c r="AW232" s="1"/>
      <c r="AX232" s="1"/>
      <c r="AY232" s="1"/>
    </row>
    <row r="233" spans="1:51" ht="15.75" customHeight="1" x14ac:dyDescent="0.2">
      <c r="A233" s="245"/>
      <c r="B233" s="244"/>
      <c r="C233" s="245"/>
      <c r="D233" s="1"/>
      <c r="E233" s="290"/>
      <c r="F233" s="1"/>
      <c r="L233" s="246"/>
      <c r="W233" s="1"/>
      <c r="Y233" s="1"/>
      <c r="AA233" s="1"/>
      <c r="AC233" s="1"/>
      <c r="AE233" s="1"/>
      <c r="AG233" s="1"/>
      <c r="AI233" s="1"/>
      <c r="AK233" s="1"/>
      <c r="AO233" s="1"/>
      <c r="AP233" s="1"/>
      <c r="AQ233" s="1"/>
      <c r="AR233" s="1"/>
      <c r="AT233" s="1"/>
      <c r="AU233" s="1"/>
      <c r="AV233" s="1"/>
      <c r="AW233" s="1"/>
      <c r="AX233" s="1"/>
      <c r="AY233" s="1"/>
    </row>
    <row r="234" spans="1:51" ht="15.75" customHeight="1" x14ac:dyDescent="0.2">
      <c r="A234" s="245"/>
      <c r="B234" s="244"/>
      <c r="C234" s="245"/>
      <c r="D234" s="1"/>
      <c r="E234" s="290"/>
      <c r="F234" s="1"/>
      <c r="L234" s="246"/>
      <c r="W234" s="1"/>
      <c r="Y234" s="1"/>
      <c r="AA234" s="1"/>
      <c r="AC234" s="1"/>
      <c r="AE234" s="1"/>
      <c r="AG234" s="1"/>
      <c r="AI234" s="1"/>
      <c r="AK234" s="1"/>
      <c r="AO234" s="1"/>
      <c r="AP234" s="1"/>
      <c r="AQ234" s="1"/>
      <c r="AR234" s="1"/>
      <c r="AT234" s="1"/>
      <c r="AU234" s="1"/>
      <c r="AV234" s="1"/>
      <c r="AW234" s="1"/>
      <c r="AX234" s="1"/>
      <c r="AY234" s="1"/>
    </row>
    <row r="235" spans="1:51" ht="15.75" customHeight="1" x14ac:dyDescent="0.2">
      <c r="A235" s="245"/>
      <c r="B235" s="244"/>
      <c r="C235" s="245"/>
      <c r="D235" s="1"/>
      <c r="E235" s="290"/>
      <c r="F235" s="1"/>
      <c r="L235" s="246"/>
      <c r="W235" s="1"/>
      <c r="Y235" s="1"/>
      <c r="AA235" s="1"/>
      <c r="AC235" s="1"/>
      <c r="AE235" s="1"/>
      <c r="AG235" s="1"/>
      <c r="AI235" s="1"/>
      <c r="AK235" s="1"/>
      <c r="AO235" s="1"/>
      <c r="AP235" s="1"/>
      <c r="AQ235" s="1"/>
      <c r="AR235" s="1"/>
      <c r="AT235" s="1"/>
      <c r="AU235" s="1"/>
      <c r="AV235" s="1"/>
      <c r="AW235" s="1"/>
      <c r="AX235" s="1"/>
      <c r="AY235" s="1"/>
    </row>
    <row r="236" spans="1:51" ht="15.75" customHeight="1" x14ac:dyDescent="0.2">
      <c r="A236" s="245"/>
      <c r="B236" s="244"/>
      <c r="C236" s="245"/>
      <c r="D236" s="1"/>
      <c r="E236" s="290"/>
      <c r="F236" s="1"/>
      <c r="L236" s="246"/>
      <c r="W236" s="1"/>
      <c r="Y236" s="1"/>
      <c r="AA236" s="1"/>
      <c r="AC236" s="1"/>
      <c r="AE236" s="1"/>
      <c r="AG236" s="1"/>
      <c r="AI236" s="1"/>
      <c r="AK236" s="1"/>
      <c r="AO236" s="1"/>
      <c r="AP236" s="1"/>
      <c r="AQ236" s="1"/>
      <c r="AR236" s="1"/>
      <c r="AT236" s="1"/>
      <c r="AU236" s="1"/>
      <c r="AV236" s="1"/>
      <c r="AW236" s="1"/>
      <c r="AX236" s="1"/>
      <c r="AY236" s="1"/>
    </row>
    <row r="237" spans="1:51" ht="15.75" customHeight="1" x14ac:dyDescent="0.2">
      <c r="A237" s="245"/>
      <c r="B237" s="244"/>
      <c r="C237" s="245"/>
      <c r="D237" s="1"/>
      <c r="E237" s="290"/>
      <c r="F237" s="1"/>
      <c r="L237" s="246"/>
      <c r="W237" s="1"/>
      <c r="Y237" s="1"/>
      <c r="AA237" s="1"/>
      <c r="AC237" s="1"/>
      <c r="AE237" s="1"/>
      <c r="AG237" s="1"/>
      <c r="AI237" s="1"/>
      <c r="AK237" s="1"/>
      <c r="AO237" s="1"/>
      <c r="AP237" s="1"/>
      <c r="AQ237" s="1"/>
      <c r="AR237" s="1"/>
      <c r="AT237" s="1"/>
      <c r="AU237" s="1"/>
      <c r="AV237" s="1"/>
      <c r="AW237" s="1"/>
      <c r="AX237" s="1"/>
      <c r="AY237" s="1"/>
    </row>
    <row r="238" spans="1:51" ht="15.75" customHeight="1" x14ac:dyDescent="0.2">
      <c r="A238" s="245"/>
      <c r="B238" s="244"/>
      <c r="C238" s="245"/>
      <c r="D238" s="1"/>
      <c r="E238" s="290"/>
      <c r="F238" s="1"/>
      <c r="L238" s="246"/>
      <c r="W238" s="1"/>
      <c r="Y238" s="1"/>
      <c r="AA238" s="1"/>
      <c r="AC238" s="1"/>
      <c r="AE238" s="1"/>
      <c r="AG238" s="1"/>
      <c r="AI238" s="1"/>
      <c r="AK238" s="1"/>
      <c r="AO238" s="1"/>
      <c r="AP238" s="1"/>
      <c r="AQ238" s="1"/>
      <c r="AR238" s="1"/>
      <c r="AT238" s="1"/>
      <c r="AU238" s="1"/>
      <c r="AV238" s="1"/>
      <c r="AW238" s="1"/>
      <c r="AX238" s="1"/>
      <c r="AY238" s="1"/>
    </row>
    <row r="239" spans="1:51" ht="15.75" customHeight="1" x14ac:dyDescent="0.2">
      <c r="A239" s="245"/>
      <c r="B239" s="244"/>
      <c r="C239" s="245"/>
      <c r="D239" s="1"/>
      <c r="E239" s="290"/>
      <c r="F239" s="1"/>
      <c r="L239" s="246"/>
      <c r="W239" s="1"/>
      <c r="Y239" s="1"/>
      <c r="AA239" s="1"/>
      <c r="AC239" s="1"/>
      <c r="AE239" s="1"/>
      <c r="AG239" s="1"/>
      <c r="AI239" s="1"/>
      <c r="AK239" s="1"/>
      <c r="AO239" s="1"/>
      <c r="AP239" s="1"/>
      <c r="AQ239" s="1"/>
      <c r="AR239" s="1"/>
      <c r="AT239" s="1"/>
      <c r="AU239" s="1"/>
      <c r="AV239" s="1"/>
      <c r="AW239" s="1"/>
      <c r="AX239" s="1"/>
      <c r="AY239" s="1"/>
    </row>
    <row r="240" spans="1:51" ht="15.75" customHeight="1" x14ac:dyDescent="0.2">
      <c r="A240" s="245"/>
      <c r="B240" s="244"/>
      <c r="C240" s="245"/>
      <c r="D240" s="1"/>
      <c r="E240" s="290"/>
      <c r="F240" s="1"/>
      <c r="L240" s="246"/>
      <c r="W240" s="1"/>
      <c r="Y240" s="1"/>
      <c r="AA240" s="1"/>
      <c r="AC240" s="1"/>
      <c r="AE240" s="1"/>
      <c r="AG240" s="1"/>
      <c r="AI240" s="1"/>
      <c r="AK240" s="1"/>
      <c r="AO240" s="1"/>
      <c r="AP240" s="1"/>
      <c r="AQ240" s="1"/>
      <c r="AR240" s="1"/>
      <c r="AT240" s="1"/>
      <c r="AU240" s="1"/>
      <c r="AV240" s="1"/>
      <c r="AW240" s="1"/>
      <c r="AX240" s="1"/>
      <c r="AY240" s="1"/>
    </row>
    <row r="241" spans="1:51" ht="15.75" customHeight="1" x14ac:dyDescent="0.2">
      <c r="A241" s="245"/>
      <c r="B241" s="244"/>
      <c r="C241" s="245"/>
      <c r="D241" s="1"/>
      <c r="E241" s="290"/>
      <c r="F241" s="1"/>
      <c r="L241" s="246"/>
      <c r="W241" s="1"/>
      <c r="Y241" s="1"/>
      <c r="AA241" s="1"/>
      <c r="AC241" s="1"/>
      <c r="AE241" s="1"/>
      <c r="AG241" s="1"/>
      <c r="AI241" s="1"/>
      <c r="AK241" s="1"/>
      <c r="AO241" s="1"/>
      <c r="AP241" s="1"/>
      <c r="AQ241" s="1"/>
      <c r="AR241" s="1"/>
      <c r="AT241" s="1"/>
      <c r="AU241" s="1"/>
      <c r="AV241" s="1"/>
      <c r="AW241" s="1"/>
      <c r="AX241" s="1"/>
      <c r="AY241" s="1"/>
    </row>
    <row r="242" spans="1:51" ht="15.75" customHeight="1" x14ac:dyDescent="0.2">
      <c r="A242" s="245"/>
      <c r="B242" s="244"/>
      <c r="C242" s="245"/>
      <c r="D242" s="1"/>
      <c r="E242" s="290"/>
      <c r="F242" s="1"/>
      <c r="L242" s="246"/>
      <c r="W242" s="1"/>
      <c r="Y242" s="1"/>
      <c r="AA242" s="1"/>
      <c r="AC242" s="1"/>
      <c r="AE242" s="1"/>
      <c r="AG242" s="1"/>
      <c r="AI242" s="1"/>
      <c r="AK242" s="1"/>
      <c r="AO242" s="1"/>
      <c r="AP242" s="1"/>
      <c r="AQ242" s="1"/>
      <c r="AR242" s="1"/>
      <c r="AT242" s="1"/>
      <c r="AU242" s="1"/>
      <c r="AV242" s="1"/>
      <c r="AW242" s="1"/>
      <c r="AX242" s="1"/>
      <c r="AY242" s="1"/>
    </row>
    <row r="243" spans="1:51" ht="15.75" customHeight="1" x14ac:dyDescent="0.2">
      <c r="A243" s="245"/>
      <c r="B243" s="244"/>
      <c r="C243" s="245"/>
      <c r="D243" s="1"/>
      <c r="E243" s="290"/>
      <c r="F243" s="1"/>
      <c r="L243" s="246"/>
      <c r="W243" s="1"/>
      <c r="Y243" s="1"/>
      <c r="AA243" s="1"/>
      <c r="AC243" s="1"/>
      <c r="AE243" s="1"/>
      <c r="AG243" s="1"/>
      <c r="AI243" s="1"/>
      <c r="AK243" s="1"/>
      <c r="AO243" s="1"/>
      <c r="AP243" s="1"/>
      <c r="AQ243" s="1"/>
      <c r="AR243" s="1"/>
      <c r="AT243" s="1"/>
      <c r="AU243" s="1"/>
      <c r="AV243" s="1"/>
      <c r="AW243" s="1"/>
      <c r="AX243" s="1"/>
      <c r="AY243" s="1"/>
    </row>
    <row r="244" spans="1:51" ht="15.75" customHeight="1" x14ac:dyDescent="0.2">
      <c r="A244" s="245"/>
      <c r="B244" s="244"/>
      <c r="C244" s="245"/>
      <c r="D244" s="1"/>
      <c r="E244" s="290"/>
      <c r="F244" s="1"/>
      <c r="L244" s="246"/>
      <c r="W244" s="1"/>
      <c r="Y244" s="1"/>
      <c r="AA244" s="1"/>
      <c r="AC244" s="1"/>
      <c r="AE244" s="1"/>
      <c r="AG244" s="1"/>
      <c r="AI244" s="1"/>
      <c r="AK244" s="1"/>
      <c r="AO244" s="1"/>
      <c r="AP244" s="1"/>
      <c r="AQ244" s="1"/>
      <c r="AR244" s="1"/>
      <c r="AT244" s="1"/>
      <c r="AU244" s="1"/>
      <c r="AV244" s="1"/>
      <c r="AW244" s="1"/>
      <c r="AX244" s="1"/>
      <c r="AY244" s="1"/>
    </row>
    <row r="245" spans="1:51" ht="15.75" customHeight="1" x14ac:dyDescent="0.2">
      <c r="A245" s="245"/>
      <c r="B245" s="244"/>
      <c r="C245" s="245"/>
      <c r="D245" s="1"/>
      <c r="E245" s="290"/>
      <c r="F245" s="1"/>
      <c r="L245" s="246"/>
      <c r="W245" s="1"/>
      <c r="Y245" s="1"/>
      <c r="AA245" s="1"/>
      <c r="AC245" s="1"/>
      <c r="AE245" s="1"/>
      <c r="AG245" s="1"/>
      <c r="AI245" s="1"/>
      <c r="AK245" s="1"/>
      <c r="AO245" s="1"/>
      <c r="AP245" s="1"/>
      <c r="AQ245" s="1"/>
      <c r="AR245" s="1"/>
      <c r="AT245" s="1"/>
      <c r="AU245" s="1"/>
      <c r="AV245" s="1"/>
      <c r="AW245" s="1"/>
      <c r="AX245" s="1"/>
      <c r="AY245" s="1"/>
    </row>
    <row r="246" spans="1:51" ht="15.75" customHeight="1" x14ac:dyDescent="0.2">
      <c r="A246" s="245"/>
      <c r="B246" s="244"/>
      <c r="C246" s="245"/>
      <c r="D246" s="1"/>
      <c r="E246" s="290"/>
      <c r="F246" s="1"/>
      <c r="L246" s="246"/>
      <c r="W246" s="1"/>
      <c r="Y246" s="1"/>
      <c r="AA246" s="1"/>
      <c r="AC246" s="1"/>
      <c r="AE246" s="1"/>
      <c r="AG246" s="1"/>
      <c r="AI246" s="1"/>
      <c r="AK246" s="1"/>
      <c r="AO246" s="1"/>
      <c r="AP246" s="1"/>
      <c r="AQ246" s="1"/>
      <c r="AR246" s="1"/>
      <c r="AT246" s="1"/>
      <c r="AU246" s="1"/>
      <c r="AV246" s="1"/>
      <c r="AW246" s="1"/>
      <c r="AX246" s="1"/>
      <c r="AY246" s="1"/>
    </row>
    <row r="247" spans="1:51" ht="15.75" customHeight="1" x14ac:dyDescent="0.2">
      <c r="A247" s="245"/>
      <c r="B247" s="244"/>
      <c r="C247" s="245"/>
      <c r="D247" s="1"/>
      <c r="E247" s="290"/>
      <c r="F247" s="1"/>
      <c r="L247" s="246"/>
      <c r="W247" s="1"/>
      <c r="Y247" s="1"/>
      <c r="AA247" s="1"/>
      <c r="AC247" s="1"/>
      <c r="AE247" s="1"/>
      <c r="AG247" s="1"/>
      <c r="AI247" s="1"/>
      <c r="AK247" s="1"/>
      <c r="AO247" s="1"/>
      <c r="AP247" s="1"/>
      <c r="AQ247" s="1"/>
      <c r="AR247" s="1"/>
      <c r="AT247" s="1"/>
      <c r="AU247" s="1"/>
      <c r="AV247" s="1"/>
      <c r="AW247" s="1"/>
      <c r="AX247" s="1"/>
      <c r="AY247" s="1"/>
    </row>
    <row r="248" spans="1:51" ht="15.75" customHeight="1" x14ac:dyDescent="0.2">
      <c r="A248" s="245"/>
      <c r="B248" s="244"/>
      <c r="C248" s="245"/>
      <c r="D248" s="1"/>
      <c r="E248" s="290"/>
      <c r="F248" s="1"/>
      <c r="L248" s="246"/>
      <c r="W248" s="1"/>
      <c r="Y248" s="1"/>
      <c r="AA248" s="1"/>
      <c r="AC248" s="1"/>
      <c r="AE248" s="1"/>
      <c r="AG248" s="1"/>
      <c r="AI248" s="1"/>
      <c r="AK248" s="1"/>
      <c r="AO248" s="1"/>
      <c r="AP248" s="1"/>
      <c r="AQ248" s="1"/>
      <c r="AR248" s="1"/>
      <c r="AT248" s="1"/>
      <c r="AU248" s="1"/>
      <c r="AV248" s="1"/>
      <c r="AW248" s="1"/>
      <c r="AX248" s="1"/>
      <c r="AY248" s="1"/>
    </row>
    <row r="249" spans="1:51" ht="15.75" customHeight="1" x14ac:dyDescent="0.2">
      <c r="A249" s="245"/>
      <c r="B249" s="244"/>
      <c r="C249" s="245"/>
      <c r="D249" s="1"/>
      <c r="E249" s="290"/>
      <c r="F249" s="1"/>
      <c r="L249" s="246"/>
      <c r="W249" s="1"/>
      <c r="Y249" s="1"/>
      <c r="AA249" s="1"/>
      <c r="AC249" s="1"/>
      <c r="AE249" s="1"/>
      <c r="AG249" s="1"/>
      <c r="AI249" s="1"/>
      <c r="AK249" s="1"/>
      <c r="AO249" s="1"/>
      <c r="AP249" s="1"/>
      <c r="AQ249" s="1"/>
      <c r="AR249" s="1"/>
      <c r="AT249" s="1"/>
      <c r="AU249" s="1"/>
      <c r="AV249" s="1"/>
      <c r="AW249" s="1"/>
      <c r="AX249" s="1"/>
      <c r="AY249" s="1"/>
    </row>
    <row r="250" spans="1:51" ht="15.75" customHeight="1" x14ac:dyDescent="0.2">
      <c r="A250" s="245"/>
      <c r="B250" s="244"/>
      <c r="C250" s="245"/>
      <c r="D250" s="1"/>
      <c r="E250" s="290"/>
      <c r="F250" s="1"/>
      <c r="L250" s="246"/>
      <c r="W250" s="1"/>
      <c r="Y250" s="1"/>
      <c r="AA250" s="1"/>
      <c r="AC250" s="1"/>
      <c r="AE250" s="1"/>
      <c r="AG250" s="1"/>
      <c r="AI250" s="1"/>
      <c r="AK250" s="1"/>
      <c r="AO250" s="1"/>
      <c r="AP250" s="1"/>
      <c r="AQ250" s="1"/>
      <c r="AR250" s="1"/>
      <c r="AT250" s="1"/>
      <c r="AU250" s="1"/>
      <c r="AV250" s="1"/>
      <c r="AW250" s="1"/>
      <c r="AX250" s="1"/>
      <c r="AY250" s="1"/>
    </row>
    <row r="251" spans="1:51" ht="15.75" customHeight="1" x14ac:dyDescent="0.2">
      <c r="A251" s="245"/>
      <c r="B251" s="244"/>
      <c r="C251" s="245"/>
      <c r="D251" s="1"/>
      <c r="E251" s="290"/>
      <c r="F251" s="1"/>
      <c r="L251" s="246"/>
      <c r="W251" s="1"/>
      <c r="Y251" s="1"/>
      <c r="AA251" s="1"/>
      <c r="AC251" s="1"/>
      <c r="AE251" s="1"/>
      <c r="AG251" s="1"/>
      <c r="AI251" s="1"/>
      <c r="AK251" s="1"/>
      <c r="AO251" s="1"/>
      <c r="AP251" s="1"/>
      <c r="AQ251" s="1"/>
      <c r="AR251" s="1"/>
      <c r="AT251" s="1"/>
      <c r="AU251" s="1"/>
      <c r="AV251" s="1"/>
      <c r="AW251" s="1"/>
      <c r="AX251" s="1"/>
      <c r="AY251" s="1"/>
    </row>
    <row r="252" spans="1:51" ht="15.75" customHeight="1" x14ac:dyDescent="0.2">
      <c r="A252" s="245"/>
      <c r="B252" s="244"/>
      <c r="C252" s="245"/>
      <c r="D252" s="1"/>
      <c r="E252" s="290"/>
      <c r="F252" s="1"/>
      <c r="L252" s="246"/>
      <c r="W252" s="1"/>
      <c r="Y252" s="1"/>
      <c r="AA252" s="1"/>
      <c r="AC252" s="1"/>
      <c r="AE252" s="1"/>
      <c r="AG252" s="1"/>
      <c r="AI252" s="1"/>
      <c r="AK252" s="1"/>
      <c r="AO252" s="1"/>
      <c r="AP252" s="1"/>
      <c r="AQ252" s="1"/>
      <c r="AR252" s="1"/>
      <c r="AT252" s="1"/>
      <c r="AU252" s="1"/>
      <c r="AV252" s="1"/>
      <c r="AW252" s="1"/>
      <c r="AX252" s="1"/>
      <c r="AY252" s="1"/>
    </row>
    <row r="253" spans="1:51" ht="15.75" customHeight="1" x14ac:dyDescent="0.2">
      <c r="A253" s="245"/>
      <c r="B253" s="244"/>
      <c r="C253" s="245"/>
      <c r="D253" s="1"/>
      <c r="E253" s="290"/>
      <c r="F253" s="1"/>
      <c r="L253" s="246"/>
      <c r="W253" s="1"/>
      <c r="Y253" s="1"/>
      <c r="AA253" s="1"/>
      <c r="AC253" s="1"/>
      <c r="AE253" s="1"/>
      <c r="AG253" s="1"/>
      <c r="AI253" s="1"/>
      <c r="AK253" s="1"/>
      <c r="AO253" s="1"/>
      <c r="AP253" s="1"/>
      <c r="AQ253" s="1"/>
      <c r="AR253" s="1"/>
      <c r="AT253" s="1"/>
      <c r="AU253" s="1"/>
      <c r="AV253" s="1"/>
      <c r="AW253" s="1"/>
      <c r="AX253" s="1"/>
      <c r="AY253" s="1"/>
    </row>
    <row r="254" spans="1:51" ht="15.75" customHeight="1" x14ac:dyDescent="0.2">
      <c r="A254" s="245"/>
      <c r="B254" s="244"/>
      <c r="C254" s="245"/>
      <c r="D254" s="1"/>
      <c r="E254" s="290"/>
      <c r="F254" s="1"/>
      <c r="L254" s="246"/>
      <c r="W254" s="1"/>
      <c r="Y254" s="1"/>
      <c r="AA254" s="1"/>
      <c r="AC254" s="1"/>
      <c r="AE254" s="1"/>
      <c r="AG254" s="1"/>
      <c r="AI254" s="1"/>
      <c r="AK254" s="1"/>
      <c r="AO254" s="1"/>
      <c r="AP254" s="1"/>
      <c r="AQ254" s="1"/>
      <c r="AR254" s="1"/>
      <c r="AT254" s="1"/>
      <c r="AU254" s="1"/>
      <c r="AV254" s="1"/>
      <c r="AW254" s="1"/>
      <c r="AX254" s="1"/>
      <c r="AY254" s="1"/>
    </row>
    <row r="255" spans="1:51" ht="15.75" customHeight="1" x14ac:dyDescent="0.2">
      <c r="A255" s="245"/>
      <c r="B255" s="244"/>
      <c r="C255" s="245"/>
      <c r="D255" s="1"/>
      <c r="E255" s="290"/>
      <c r="F255" s="1"/>
      <c r="L255" s="246"/>
      <c r="W255" s="1"/>
      <c r="Y255" s="1"/>
      <c r="AA255" s="1"/>
      <c r="AC255" s="1"/>
      <c r="AE255" s="1"/>
      <c r="AG255" s="1"/>
      <c r="AI255" s="1"/>
      <c r="AK255" s="1"/>
      <c r="AO255" s="1"/>
      <c r="AP255" s="1"/>
      <c r="AQ255" s="1"/>
      <c r="AR255" s="1"/>
      <c r="AT255" s="1"/>
      <c r="AU255" s="1"/>
      <c r="AV255" s="1"/>
      <c r="AW255" s="1"/>
      <c r="AX255" s="1"/>
      <c r="AY255" s="1"/>
    </row>
    <row r="256" spans="1:51" ht="15.75" customHeight="1" x14ac:dyDescent="0.2">
      <c r="A256" s="245"/>
      <c r="B256" s="244"/>
      <c r="C256" s="245"/>
      <c r="D256" s="1"/>
      <c r="E256" s="290"/>
      <c r="F256" s="1"/>
      <c r="L256" s="246"/>
      <c r="W256" s="1"/>
      <c r="Y256" s="1"/>
      <c r="AA256" s="1"/>
      <c r="AC256" s="1"/>
      <c r="AE256" s="1"/>
      <c r="AG256" s="1"/>
      <c r="AI256" s="1"/>
      <c r="AK256" s="1"/>
      <c r="AO256" s="1"/>
      <c r="AP256" s="1"/>
      <c r="AQ256" s="1"/>
      <c r="AR256" s="1"/>
      <c r="AT256" s="1"/>
      <c r="AU256" s="1"/>
      <c r="AV256" s="1"/>
      <c r="AW256" s="1"/>
      <c r="AX256" s="1"/>
      <c r="AY256" s="1"/>
    </row>
    <row r="257" spans="1:51" ht="15.75" customHeight="1" x14ac:dyDescent="0.2">
      <c r="A257" s="245"/>
      <c r="B257" s="244"/>
      <c r="C257" s="245"/>
      <c r="D257" s="1"/>
      <c r="E257" s="290"/>
      <c r="F257" s="1"/>
      <c r="L257" s="246"/>
      <c r="W257" s="1"/>
      <c r="Y257" s="1"/>
      <c r="AA257" s="1"/>
      <c r="AC257" s="1"/>
      <c r="AE257" s="1"/>
      <c r="AG257" s="1"/>
      <c r="AI257" s="1"/>
      <c r="AK257" s="1"/>
      <c r="AO257" s="1"/>
      <c r="AP257" s="1"/>
      <c r="AQ257" s="1"/>
      <c r="AR257" s="1"/>
      <c r="AT257" s="1"/>
      <c r="AU257" s="1"/>
      <c r="AV257" s="1"/>
      <c r="AW257" s="1"/>
      <c r="AX257" s="1"/>
      <c r="AY257" s="1"/>
    </row>
    <row r="258" spans="1:51" ht="15.75" customHeight="1" x14ac:dyDescent="0.2">
      <c r="A258" s="245"/>
      <c r="B258" s="244"/>
      <c r="C258" s="245"/>
      <c r="D258" s="1"/>
      <c r="E258" s="290"/>
      <c r="F258" s="1"/>
      <c r="L258" s="246"/>
      <c r="W258" s="1"/>
      <c r="Y258" s="1"/>
      <c r="AA258" s="1"/>
      <c r="AC258" s="1"/>
      <c r="AE258" s="1"/>
      <c r="AG258" s="1"/>
      <c r="AI258" s="1"/>
      <c r="AK258" s="1"/>
      <c r="AO258" s="1"/>
      <c r="AP258" s="1"/>
      <c r="AQ258" s="1"/>
      <c r="AR258" s="1"/>
      <c r="AT258" s="1"/>
      <c r="AU258" s="1"/>
      <c r="AV258" s="1"/>
      <c r="AW258" s="1"/>
      <c r="AX258" s="1"/>
      <c r="AY258" s="1"/>
    </row>
    <row r="259" spans="1:51" ht="15.75" customHeight="1" x14ac:dyDescent="0.2">
      <c r="A259" s="245"/>
      <c r="B259" s="244"/>
      <c r="C259" s="245"/>
      <c r="D259" s="1"/>
      <c r="E259" s="290"/>
      <c r="F259" s="1"/>
      <c r="L259" s="246"/>
      <c r="W259" s="1"/>
      <c r="Y259" s="1"/>
      <c r="AA259" s="1"/>
      <c r="AC259" s="1"/>
      <c r="AE259" s="1"/>
      <c r="AG259" s="1"/>
      <c r="AI259" s="1"/>
      <c r="AK259" s="1"/>
      <c r="AO259" s="1"/>
      <c r="AP259" s="1"/>
      <c r="AQ259" s="1"/>
      <c r="AR259" s="1"/>
      <c r="AT259" s="1"/>
      <c r="AU259" s="1"/>
      <c r="AV259" s="1"/>
      <c r="AW259" s="1"/>
      <c r="AX259" s="1"/>
      <c r="AY259" s="1"/>
    </row>
    <row r="260" spans="1:51" ht="15.75" customHeight="1" x14ac:dyDescent="0.2">
      <c r="A260" s="245"/>
      <c r="B260" s="244"/>
      <c r="C260" s="245"/>
      <c r="D260" s="1"/>
      <c r="E260" s="290"/>
      <c r="F260" s="1"/>
      <c r="L260" s="246"/>
      <c r="W260" s="1"/>
      <c r="Y260" s="1"/>
      <c r="AA260" s="1"/>
      <c r="AC260" s="1"/>
      <c r="AE260" s="1"/>
      <c r="AG260" s="1"/>
      <c r="AI260" s="1"/>
      <c r="AK260" s="1"/>
      <c r="AO260" s="1"/>
      <c r="AP260" s="1"/>
      <c r="AQ260" s="1"/>
      <c r="AR260" s="1"/>
      <c r="AT260" s="1"/>
      <c r="AU260" s="1"/>
      <c r="AV260" s="1"/>
      <c r="AW260" s="1"/>
      <c r="AX260" s="1"/>
      <c r="AY260" s="1"/>
    </row>
    <row r="261" spans="1:51" ht="15.75" customHeight="1" x14ac:dyDescent="0.2">
      <c r="A261" s="245"/>
      <c r="B261" s="244"/>
      <c r="C261" s="245"/>
      <c r="D261" s="1"/>
      <c r="E261" s="290"/>
      <c r="F261" s="1"/>
      <c r="L261" s="246"/>
      <c r="W261" s="1"/>
      <c r="Y261" s="1"/>
      <c r="AA261" s="1"/>
      <c r="AC261" s="1"/>
      <c r="AE261" s="1"/>
      <c r="AG261" s="1"/>
      <c r="AI261" s="1"/>
      <c r="AK261" s="1"/>
      <c r="AO261" s="1"/>
      <c r="AP261" s="1"/>
      <c r="AQ261" s="1"/>
      <c r="AR261" s="1"/>
      <c r="AT261" s="1"/>
      <c r="AU261" s="1"/>
      <c r="AV261" s="1"/>
      <c r="AW261" s="1"/>
      <c r="AX261" s="1"/>
      <c r="AY261" s="1"/>
    </row>
    <row r="262" spans="1:51" ht="15.75" customHeight="1" x14ac:dyDescent="0.2">
      <c r="A262" s="245"/>
      <c r="B262" s="244"/>
      <c r="C262" s="245"/>
      <c r="D262" s="1"/>
      <c r="E262" s="290"/>
      <c r="F262" s="1"/>
      <c r="L262" s="246"/>
      <c r="W262" s="1"/>
      <c r="Y262" s="1"/>
      <c r="AA262" s="1"/>
      <c r="AC262" s="1"/>
      <c r="AE262" s="1"/>
      <c r="AG262" s="1"/>
      <c r="AI262" s="1"/>
      <c r="AK262" s="1"/>
      <c r="AO262" s="1"/>
      <c r="AP262" s="1"/>
      <c r="AQ262" s="1"/>
      <c r="AR262" s="1"/>
      <c r="AT262" s="1"/>
      <c r="AU262" s="1"/>
      <c r="AV262" s="1"/>
      <c r="AW262" s="1"/>
      <c r="AX262" s="1"/>
      <c r="AY262" s="1"/>
    </row>
    <row r="263" spans="1:51" ht="15.75" customHeight="1" x14ac:dyDescent="0.2">
      <c r="A263" s="245"/>
      <c r="B263" s="244"/>
      <c r="C263" s="245"/>
      <c r="D263" s="1"/>
      <c r="E263" s="290"/>
      <c r="F263" s="1"/>
      <c r="L263" s="246"/>
      <c r="W263" s="1"/>
      <c r="Y263" s="1"/>
      <c r="AA263" s="1"/>
      <c r="AC263" s="1"/>
      <c r="AE263" s="1"/>
      <c r="AG263" s="1"/>
      <c r="AI263" s="1"/>
      <c r="AK263" s="1"/>
      <c r="AO263" s="1"/>
      <c r="AP263" s="1"/>
      <c r="AQ263" s="1"/>
      <c r="AR263" s="1"/>
      <c r="AT263" s="1"/>
      <c r="AU263" s="1"/>
      <c r="AV263" s="1"/>
      <c r="AW263" s="1"/>
      <c r="AX263" s="1"/>
      <c r="AY263" s="1"/>
    </row>
    <row r="264" spans="1:51" ht="15.75" customHeight="1" x14ac:dyDescent="0.2">
      <c r="A264" s="245"/>
      <c r="B264" s="244"/>
      <c r="C264" s="245"/>
      <c r="D264" s="1"/>
      <c r="E264" s="290"/>
      <c r="F264" s="1"/>
      <c r="L264" s="246"/>
      <c r="W264" s="1"/>
      <c r="Y264" s="1"/>
      <c r="AA264" s="1"/>
      <c r="AC264" s="1"/>
      <c r="AE264" s="1"/>
      <c r="AG264" s="1"/>
      <c r="AI264" s="1"/>
      <c r="AK264" s="1"/>
      <c r="AO264" s="1"/>
      <c r="AP264" s="1"/>
      <c r="AQ264" s="1"/>
      <c r="AR264" s="1"/>
      <c r="AT264" s="1"/>
      <c r="AU264" s="1"/>
      <c r="AV264" s="1"/>
      <c r="AW264" s="1"/>
      <c r="AX264" s="1"/>
      <c r="AY264" s="1"/>
    </row>
    <row r="265" spans="1:51" ht="15.75" customHeight="1" x14ac:dyDescent="0.2">
      <c r="A265" s="245"/>
      <c r="B265" s="244"/>
      <c r="C265" s="245"/>
      <c r="D265" s="1"/>
      <c r="E265" s="290"/>
      <c r="F265" s="1"/>
      <c r="L265" s="246"/>
      <c r="W265" s="1"/>
      <c r="Y265" s="1"/>
      <c r="AA265" s="1"/>
      <c r="AC265" s="1"/>
      <c r="AE265" s="1"/>
      <c r="AG265" s="1"/>
      <c r="AI265" s="1"/>
      <c r="AK265" s="1"/>
      <c r="AO265" s="1"/>
      <c r="AP265" s="1"/>
      <c r="AQ265" s="1"/>
      <c r="AR265" s="1"/>
      <c r="AT265" s="1"/>
      <c r="AU265" s="1"/>
      <c r="AV265" s="1"/>
      <c r="AW265" s="1"/>
      <c r="AX265" s="1"/>
      <c r="AY265" s="1"/>
    </row>
    <row r="266" spans="1:51" ht="15.75" customHeight="1" x14ac:dyDescent="0.2">
      <c r="A266" s="245"/>
      <c r="B266" s="244"/>
      <c r="C266" s="245"/>
      <c r="D266" s="1"/>
      <c r="E266" s="290"/>
      <c r="F266" s="1"/>
      <c r="L266" s="246"/>
      <c r="W266" s="1"/>
      <c r="Y266" s="1"/>
      <c r="AA266" s="1"/>
      <c r="AC266" s="1"/>
      <c r="AE266" s="1"/>
      <c r="AG266" s="1"/>
      <c r="AI266" s="1"/>
      <c r="AK266" s="1"/>
      <c r="AO266" s="1"/>
      <c r="AP266" s="1"/>
      <c r="AQ266" s="1"/>
      <c r="AR266" s="1"/>
      <c r="AT266" s="1"/>
      <c r="AU266" s="1"/>
      <c r="AV266" s="1"/>
      <c r="AW266" s="1"/>
      <c r="AX266" s="1"/>
      <c r="AY266" s="1"/>
    </row>
    <row r="267" spans="1:51" ht="15.75" customHeight="1" x14ac:dyDescent="0.2">
      <c r="A267" s="245"/>
      <c r="B267" s="244"/>
      <c r="C267" s="245"/>
      <c r="D267" s="1"/>
      <c r="E267" s="290"/>
      <c r="F267" s="1"/>
      <c r="L267" s="246"/>
      <c r="W267" s="1"/>
      <c r="Y267" s="1"/>
      <c r="AA267" s="1"/>
      <c r="AC267" s="1"/>
      <c r="AE267" s="1"/>
      <c r="AG267" s="1"/>
      <c r="AI267" s="1"/>
      <c r="AK267" s="1"/>
      <c r="AO267" s="1"/>
      <c r="AP267" s="1"/>
      <c r="AQ267" s="1"/>
      <c r="AR267" s="1"/>
      <c r="AT267" s="1"/>
      <c r="AU267" s="1"/>
      <c r="AV267" s="1"/>
      <c r="AW267" s="1"/>
      <c r="AX267" s="1"/>
      <c r="AY267" s="1"/>
    </row>
    <row r="268" spans="1:51" ht="15.75" customHeight="1" x14ac:dyDescent="0.2">
      <c r="A268" s="245"/>
      <c r="B268" s="244"/>
      <c r="C268" s="245"/>
      <c r="D268" s="1"/>
      <c r="E268" s="290"/>
      <c r="F268" s="1"/>
      <c r="L268" s="246"/>
      <c r="W268" s="1"/>
      <c r="Y268" s="1"/>
      <c r="AA268" s="1"/>
      <c r="AC268" s="1"/>
      <c r="AE268" s="1"/>
      <c r="AG268" s="1"/>
      <c r="AI268" s="1"/>
      <c r="AK268" s="1"/>
      <c r="AO268" s="1"/>
      <c r="AP268" s="1"/>
      <c r="AQ268" s="1"/>
      <c r="AR268" s="1"/>
      <c r="AT268" s="1"/>
      <c r="AU268" s="1"/>
      <c r="AV268" s="1"/>
      <c r="AW268" s="1"/>
      <c r="AX268" s="1"/>
      <c r="AY268" s="1"/>
    </row>
    <row r="269" spans="1:51" ht="15.75" customHeight="1" x14ac:dyDescent="0.2">
      <c r="A269" s="245"/>
      <c r="B269" s="244"/>
      <c r="C269" s="245"/>
      <c r="D269" s="1"/>
      <c r="E269" s="290"/>
      <c r="F269" s="1"/>
      <c r="L269" s="246"/>
      <c r="W269" s="1"/>
      <c r="Y269" s="1"/>
      <c r="AA269" s="1"/>
      <c r="AC269" s="1"/>
      <c r="AE269" s="1"/>
      <c r="AG269" s="1"/>
      <c r="AI269" s="1"/>
      <c r="AK269" s="1"/>
      <c r="AO269" s="1"/>
      <c r="AP269" s="1"/>
      <c r="AQ269" s="1"/>
      <c r="AR269" s="1"/>
      <c r="AT269" s="1"/>
      <c r="AU269" s="1"/>
      <c r="AV269" s="1"/>
      <c r="AW269" s="1"/>
      <c r="AX269" s="1"/>
      <c r="AY269" s="1"/>
    </row>
    <row r="270" spans="1:51" ht="15.75" customHeight="1" x14ac:dyDescent="0.2">
      <c r="A270" s="245"/>
      <c r="B270" s="244"/>
      <c r="C270" s="245"/>
      <c r="D270" s="1"/>
      <c r="E270" s="290"/>
      <c r="F270" s="1"/>
      <c r="L270" s="246"/>
      <c r="W270" s="1"/>
      <c r="Y270" s="1"/>
      <c r="AA270" s="1"/>
      <c r="AC270" s="1"/>
      <c r="AE270" s="1"/>
      <c r="AG270" s="1"/>
      <c r="AI270" s="1"/>
      <c r="AK270" s="1"/>
      <c r="AO270" s="1"/>
      <c r="AP270" s="1"/>
      <c r="AQ270" s="1"/>
      <c r="AR270" s="1"/>
      <c r="AT270" s="1"/>
      <c r="AU270" s="1"/>
      <c r="AV270" s="1"/>
      <c r="AW270" s="1"/>
      <c r="AX270" s="1"/>
      <c r="AY270" s="1"/>
    </row>
    <row r="271" spans="1:51" ht="15.75" customHeight="1" x14ac:dyDescent="0.2">
      <c r="A271" s="245"/>
      <c r="B271" s="244"/>
      <c r="C271" s="245"/>
      <c r="D271" s="1"/>
      <c r="E271" s="290"/>
      <c r="F271" s="1"/>
      <c r="L271" s="246"/>
      <c r="W271" s="1"/>
      <c r="Y271" s="1"/>
      <c r="AA271" s="1"/>
      <c r="AC271" s="1"/>
      <c r="AE271" s="1"/>
      <c r="AG271" s="1"/>
      <c r="AI271" s="1"/>
      <c r="AK271" s="1"/>
      <c r="AO271" s="1"/>
      <c r="AP271" s="1"/>
      <c r="AQ271" s="1"/>
      <c r="AR271" s="1"/>
      <c r="AT271" s="1"/>
      <c r="AU271" s="1"/>
      <c r="AV271" s="1"/>
      <c r="AW271" s="1"/>
      <c r="AX271" s="1"/>
      <c r="AY271" s="1"/>
    </row>
    <row r="272" spans="1:51" ht="15.75" customHeight="1" x14ac:dyDescent="0.2">
      <c r="A272" s="245"/>
      <c r="B272" s="244"/>
      <c r="C272" s="245"/>
      <c r="D272" s="1"/>
      <c r="E272" s="290"/>
      <c r="F272" s="1"/>
      <c r="L272" s="246"/>
      <c r="W272" s="1"/>
      <c r="Y272" s="1"/>
      <c r="AA272" s="1"/>
      <c r="AC272" s="1"/>
      <c r="AE272" s="1"/>
      <c r="AG272" s="1"/>
      <c r="AI272" s="1"/>
      <c r="AK272" s="1"/>
      <c r="AO272" s="1"/>
      <c r="AP272" s="1"/>
      <c r="AQ272" s="1"/>
      <c r="AR272" s="1"/>
      <c r="AT272" s="1"/>
      <c r="AU272" s="1"/>
      <c r="AV272" s="1"/>
      <c r="AW272" s="1"/>
      <c r="AX272" s="1"/>
      <c r="AY272" s="1"/>
    </row>
    <row r="273" spans="1:51" ht="15.75" customHeight="1" x14ac:dyDescent="0.2">
      <c r="A273" s="245"/>
      <c r="B273" s="244"/>
      <c r="C273" s="245"/>
      <c r="D273" s="1"/>
      <c r="E273" s="290"/>
      <c r="F273" s="1"/>
      <c r="L273" s="246"/>
      <c r="W273" s="1"/>
      <c r="Y273" s="1"/>
      <c r="AA273" s="1"/>
      <c r="AC273" s="1"/>
      <c r="AE273" s="1"/>
      <c r="AG273" s="1"/>
      <c r="AI273" s="1"/>
      <c r="AK273" s="1"/>
      <c r="AO273" s="1"/>
      <c r="AP273" s="1"/>
      <c r="AQ273" s="1"/>
      <c r="AR273" s="1"/>
      <c r="AT273" s="1"/>
      <c r="AU273" s="1"/>
      <c r="AV273" s="1"/>
      <c r="AW273" s="1"/>
      <c r="AX273" s="1"/>
      <c r="AY273" s="1"/>
    </row>
    <row r="274" spans="1:51" ht="15.75" customHeight="1" x14ac:dyDescent="0.2">
      <c r="A274" s="245"/>
      <c r="B274" s="244"/>
      <c r="C274" s="245"/>
      <c r="D274" s="1"/>
      <c r="E274" s="290"/>
      <c r="F274" s="1"/>
      <c r="L274" s="246"/>
      <c r="W274" s="1"/>
      <c r="Y274" s="1"/>
      <c r="AA274" s="1"/>
      <c r="AC274" s="1"/>
      <c r="AE274" s="1"/>
      <c r="AG274" s="1"/>
      <c r="AI274" s="1"/>
      <c r="AK274" s="1"/>
      <c r="AO274" s="1"/>
      <c r="AP274" s="1"/>
      <c r="AQ274" s="1"/>
      <c r="AR274" s="1"/>
      <c r="AT274" s="1"/>
      <c r="AU274" s="1"/>
      <c r="AV274" s="1"/>
      <c r="AW274" s="1"/>
      <c r="AX274" s="1"/>
      <c r="AY274" s="1"/>
    </row>
    <row r="275" spans="1:51" ht="15.75" customHeight="1" x14ac:dyDescent="0.2">
      <c r="A275" s="245"/>
      <c r="B275" s="244"/>
      <c r="C275" s="245"/>
      <c r="D275" s="1"/>
      <c r="E275" s="290"/>
      <c r="F275" s="1"/>
      <c r="L275" s="246"/>
      <c r="W275" s="1"/>
      <c r="Y275" s="1"/>
      <c r="AA275" s="1"/>
      <c r="AC275" s="1"/>
      <c r="AE275" s="1"/>
      <c r="AG275" s="1"/>
      <c r="AI275" s="1"/>
      <c r="AK275" s="1"/>
      <c r="AO275" s="1"/>
      <c r="AP275" s="1"/>
      <c r="AQ275" s="1"/>
      <c r="AR275" s="1"/>
      <c r="AT275" s="1"/>
      <c r="AU275" s="1"/>
      <c r="AV275" s="1"/>
      <c r="AW275" s="1"/>
      <c r="AX275" s="1"/>
      <c r="AY275" s="1"/>
    </row>
    <row r="276" spans="1:51" ht="15.75" customHeight="1" x14ac:dyDescent="0.2">
      <c r="A276" s="245"/>
      <c r="B276" s="244"/>
      <c r="C276" s="245"/>
      <c r="D276" s="1"/>
      <c r="E276" s="290"/>
      <c r="F276" s="1"/>
      <c r="L276" s="246"/>
      <c r="W276" s="1"/>
      <c r="Y276" s="1"/>
      <c r="AA276" s="1"/>
      <c r="AC276" s="1"/>
      <c r="AE276" s="1"/>
      <c r="AG276" s="1"/>
      <c r="AI276" s="1"/>
      <c r="AK276" s="1"/>
      <c r="AO276" s="1"/>
      <c r="AP276" s="1"/>
      <c r="AQ276" s="1"/>
      <c r="AR276" s="1"/>
      <c r="AT276" s="1"/>
      <c r="AU276" s="1"/>
      <c r="AV276" s="1"/>
      <c r="AW276" s="1"/>
      <c r="AX276" s="1"/>
      <c r="AY276" s="1"/>
    </row>
    <row r="277" spans="1:51" ht="15.75" customHeight="1" x14ac:dyDescent="0.2">
      <c r="A277" s="245"/>
      <c r="B277" s="244"/>
      <c r="C277" s="245"/>
      <c r="D277" s="1"/>
      <c r="E277" s="290"/>
      <c r="F277" s="1"/>
      <c r="L277" s="246"/>
      <c r="W277" s="1"/>
      <c r="Y277" s="1"/>
      <c r="AA277" s="1"/>
      <c r="AC277" s="1"/>
      <c r="AE277" s="1"/>
      <c r="AG277" s="1"/>
      <c r="AI277" s="1"/>
      <c r="AK277" s="1"/>
      <c r="AO277" s="1"/>
      <c r="AP277" s="1"/>
      <c r="AQ277" s="1"/>
      <c r="AR277" s="1"/>
      <c r="AT277" s="1"/>
      <c r="AU277" s="1"/>
      <c r="AV277" s="1"/>
      <c r="AW277" s="1"/>
      <c r="AX277" s="1"/>
      <c r="AY277" s="1"/>
    </row>
    <row r="278" spans="1:51" ht="15.75" customHeight="1" x14ac:dyDescent="0.2">
      <c r="A278" s="245"/>
      <c r="B278" s="244"/>
      <c r="C278" s="245"/>
      <c r="D278" s="1"/>
      <c r="E278" s="290"/>
      <c r="F278" s="1"/>
      <c r="L278" s="246"/>
      <c r="W278" s="1"/>
      <c r="Y278" s="1"/>
      <c r="AA278" s="1"/>
      <c r="AC278" s="1"/>
      <c r="AE278" s="1"/>
      <c r="AG278" s="1"/>
      <c r="AI278" s="1"/>
      <c r="AK278" s="1"/>
      <c r="AO278" s="1"/>
      <c r="AP278" s="1"/>
      <c r="AQ278" s="1"/>
      <c r="AR278" s="1"/>
      <c r="AT278" s="1"/>
      <c r="AU278" s="1"/>
      <c r="AV278" s="1"/>
      <c r="AW278" s="1"/>
      <c r="AX278" s="1"/>
      <c r="AY278" s="1"/>
    </row>
    <row r="279" spans="1:51" ht="15.75" customHeight="1" x14ac:dyDescent="0.2">
      <c r="A279" s="245"/>
      <c r="B279" s="244"/>
      <c r="C279" s="245"/>
      <c r="D279" s="1"/>
      <c r="E279" s="290"/>
      <c r="F279" s="1"/>
      <c r="L279" s="246"/>
      <c r="W279" s="1"/>
      <c r="Y279" s="1"/>
      <c r="AA279" s="1"/>
      <c r="AC279" s="1"/>
      <c r="AE279" s="1"/>
      <c r="AG279" s="1"/>
      <c r="AI279" s="1"/>
      <c r="AK279" s="1"/>
      <c r="AO279" s="1"/>
      <c r="AP279" s="1"/>
      <c r="AQ279" s="1"/>
      <c r="AR279" s="1"/>
      <c r="AT279" s="1"/>
      <c r="AU279" s="1"/>
      <c r="AV279" s="1"/>
      <c r="AW279" s="1"/>
      <c r="AX279" s="1"/>
      <c r="AY279" s="1"/>
    </row>
    <row r="280" spans="1:51" ht="15.75" customHeight="1" x14ac:dyDescent="0.2">
      <c r="A280" s="245"/>
      <c r="B280" s="244"/>
      <c r="C280" s="245"/>
      <c r="D280" s="1"/>
      <c r="E280" s="290"/>
      <c r="F280" s="1"/>
      <c r="L280" s="246"/>
      <c r="W280" s="1"/>
      <c r="Y280" s="1"/>
      <c r="AA280" s="1"/>
      <c r="AC280" s="1"/>
      <c r="AE280" s="1"/>
      <c r="AG280" s="1"/>
      <c r="AI280" s="1"/>
      <c r="AK280" s="1"/>
      <c r="AO280" s="1"/>
      <c r="AP280" s="1"/>
      <c r="AQ280" s="1"/>
      <c r="AR280" s="1"/>
      <c r="AT280" s="1"/>
      <c r="AU280" s="1"/>
      <c r="AV280" s="1"/>
      <c r="AW280" s="1"/>
      <c r="AX280" s="1"/>
      <c r="AY280" s="1"/>
    </row>
    <row r="281" spans="1:51" ht="15.75" customHeight="1" x14ac:dyDescent="0.2">
      <c r="A281" s="245"/>
      <c r="B281" s="244"/>
      <c r="C281" s="245"/>
      <c r="D281" s="1"/>
      <c r="E281" s="290"/>
      <c r="F281" s="1"/>
      <c r="L281" s="246"/>
      <c r="W281" s="1"/>
      <c r="Y281" s="1"/>
      <c r="AA281" s="1"/>
      <c r="AC281" s="1"/>
      <c r="AE281" s="1"/>
      <c r="AG281" s="1"/>
      <c r="AI281" s="1"/>
      <c r="AK281" s="1"/>
      <c r="AO281" s="1"/>
      <c r="AP281" s="1"/>
      <c r="AQ281" s="1"/>
      <c r="AR281" s="1"/>
      <c r="AT281" s="1"/>
      <c r="AU281" s="1"/>
      <c r="AV281" s="1"/>
      <c r="AW281" s="1"/>
      <c r="AX281" s="1"/>
      <c r="AY281" s="1"/>
    </row>
    <row r="282" spans="1:51" ht="15.75" customHeight="1" x14ac:dyDescent="0.2">
      <c r="A282" s="245"/>
      <c r="B282" s="244"/>
      <c r="C282" s="245"/>
      <c r="D282" s="1"/>
      <c r="E282" s="290"/>
      <c r="F282" s="1"/>
      <c r="L282" s="246"/>
      <c r="W282" s="1"/>
      <c r="Y282" s="1"/>
      <c r="AA282" s="1"/>
      <c r="AC282" s="1"/>
      <c r="AE282" s="1"/>
      <c r="AG282" s="1"/>
      <c r="AI282" s="1"/>
      <c r="AK282" s="1"/>
      <c r="AO282" s="1"/>
      <c r="AP282" s="1"/>
      <c r="AQ282" s="1"/>
      <c r="AR282" s="1"/>
      <c r="AT282" s="1"/>
      <c r="AU282" s="1"/>
      <c r="AV282" s="1"/>
      <c r="AW282" s="1"/>
      <c r="AX282" s="1"/>
      <c r="AY282" s="1"/>
    </row>
    <row r="283" spans="1:51" ht="15.75" customHeight="1" x14ac:dyDescent="0.2">
      <c r="A283" s="245"/>
      <c r="B283" s="244"/>
      <c r="C283" s="245"/>
      <c r="D283" s="1"/>
      <c r="E283" s="290"/>
      <c r="F283" s="1"/>
      <c r="L283" s="246"/>
      <c r="W283" s="1"/>
      <c r="Y283" s="1"/>
      <c r="AA283" s="1"/>
      <c r="AC283" s="1"/>
      <c r="AE283" s="1"/>
      <c r="AG283" s="1"/>
      <c r="AI283" s="1"/>
      <c r="AK283" s="1"/>
      <c r="AO283" s="1"/>
      <c r="AP283" s="1"/>
      <c r="AQ283" s="1"/>
      <c r="AR283" s="1"/>
      <c r="AT283" s="1"/>
      <c r="AU283" s="1"/>
      <c r="AV283" s="1"/>
      <c r="AW283" s="1"/>
      <c r="AX283" s="1"/>
      <c r="AY283" s="1"/>
    </row>
    <row r="284" spans="1:51" ht="15.75" customHeight="1" x14ac:dyDescent="0.2">
      <c r="A284" s="245"/>
      <c r="B284" s="244"/>
      <c r="C284" s="245"/>
      <c r="D284" s="1"/>
      <c r="E284" s="290"/>
      <c r="F284" s="1"/>
      <c r="L284" s="246"/>
      <c r="W284" s="1"/>
      <c r="Y284" s="1"/>
      <c r="AA284" s="1"/>
      <c r="AC284" s="1"/>
      <c r="AE284" s="1"/>
      <c r="AG284" s="1"/>
      <c r="AI284" s="1"/>
      <c r="AK284" s="1"/>
      <c r="AO284" s="1"/>
      <c r="AP284" s="1"/>
      <c r="AQ284" s="1"/>
      <c r="AR284" s="1"/>
      <c r="AT284" s="1"/>
      <c r="AU284" s="1"/>
      <c r="AV284" s="1"/>
      <c r="AW284" s="1"/>
      <c r="AX284" s="1"/>
      <c r="AY284" s="1"/>
    </row>
    <row r="285" spans="1:51" ht="15.75" customHeight="1" x14ac:dyDescent="0.2">
      <c r="A285" s="245"/>
      <c r="B285" s="244"/>
      <c r="C285" s="245"/>
      <c r="D285" s="1"/>
      <c r="E285" s="290"/>
      <c r="F285" s="1"/>
      <c r="L285" s="246"/>
      <c r="W285" s="1"/>
      <c r="Y285" s="1"/>
      <c r="AA285" s="1"/>
      <c r="AC285" s="1"/>
      <c r="AE285" s="1"/>
      <c r="AG285" s="1"/>
      <c r="AI285" s="1"/>
      <c r="AK285" s="1"/>
      <c r="AO285" s="1"/>
      <c r="AP285" s="1"/>
      <c r="AQ285" s="1"/>
      <c r="AR285" s="1"/>
      <c r="AT285" s="1"/>
      <c r="AU285" s="1"/>
      <c r="AV285" s="1"/>
      <c r="AW285" s="1"/>
      <c r="AX285" s="1"/>
      <c r="AY285" s="1"/>
    </row>
    <row r="286" spans="1:51" ht="15.75" customHeight="1" x14ac:dyDescent="0.2">
      <c r="A286" s="245"/>
      <c r="B286" s="244"/>
      <c r="C286" s="245"/>
      <c r="D286" s="1"/>
      <c r="E286" s="290"/>
      <c r="F286" s="1"/>
      <c r="L286" s="246"/>
      <c r="W286" s="1"/>
      <c r="Y286" s="1"/>
      <c r="AA286" s="1"/>
      <c r="AC286" s="1"/>
      <c r="AE286" s="1"/>
      <c r="AG286" s="1"/>
      <c r="AI286" s="1"/>
      <c r="AK286" s="1"/>
      <c r="AO286" s="1"/>
      <c r="AP286" s="1"/>
      <c r="AQ286" s="1"/>
      <c r="AR286" s="1"/>
      <c r="AT286" s="1"/>
      <c r="AU286" s="1"/>
      <c r="AV286" s="1"/>
      <c r="AW286" s="1"/>
      <c r="AX286" s="1"/>
      <c r="AY286" s="1"/>
    </row>
    <row r="287" spans="1:51" ht="15.75" customHeight="1" x14ac:dyDescent="0.2">
      <c r="A287" s="245"/>
      <c r="B287" s="244"/>
      <c r="C287" s="245"/>
      <c r="D287" s="1"/>
      <c r="E287" s="290"/>
      <c r="F287" s="1"/>
      <c r="L287" s="246"/>
      <c r="W287" s="1"/>
      <c r="Y287" s="1"/>
      <c r="AA287" s="1"/>
      <c r="AC287" s="1"/>
      <c r="AE287" s="1"/>
      <c r="AG287" s="1"/>
      <c r="AI287" s="1"/>
      <c r="AK287" s="1"/>
      <c r="AO287" s="1"/>
      <c r="AP287" s="1"/>
      <c r="AQ287" s="1"/>
      <c r="AR287" s="1"/>
      <c r="AT287" s="1"/>
      <c r="AU287" s="1"/>
      <c r="AV287" s="1"/>
      <c r="AW287" s="1"/>
      <c r="AX287" s="1"/>
      <c r="AY287" s="1"/>
    </row>
    <row r="288" spans="1:51" ht="15.75" customHeight="1" x14ac:dyDescent="0.2">
      <c r="A288" s="245"/>
      <c r="B288" s="244"/>
      <c r="C288" s="245"/>
      <c r="D288" s="1"/>
      <c r="E288" s="290"/>
      <c r="F288" s="1"/>
      <c r="L288" s="246"/>
      <c r="W288" s="1"/>
      <c r="Y288" s="1"/>
      <c r="AA288" s="1"/>
      <c r="AC288" s="1"/>
      <c r="AE288" s="1"/>
      <c r="AG288" s="1"/>
      <c r="AI288" s="1"/>
      <c r="AK288" s="1"/>
      <c r="AO288" s="1"/>
      <c r="AP288" s="1"/>
      <c r="AQ288" s="1"/>
      <c r="AR288" s="1"/>
      <c r="AT288" s="1"/>
      <c r="AU288" s="1"/>
      <c r="AV288" s="1"/>
      <c r="AW288" s="1"/>
      <c r="AX288" s="1"/>
      <c r="AY288" s="1"/>
    </row>
    <row r="289" spans="1:51" ht="15.75" customHeight="1" x14ac:dyDescent="0.2">
      <c r="A289" s="245"/>
      <c r="B289" s="244"/>
      <c r="C289" s="245"/>
      <c r="D289" s="1"/>
      <c r="E289" s="290"/>
      <c r="F289" s="1"/>
      <c r="L289" s="246"/>
      <c r="W289" s="1"/>
      <c r="Y289" s="1"/>
      <c r="AA289" s="1"/>
      <c r="AC289" s="1"/>
      <c r="AE289" s="1"/>
      <c r="AG289" s="1"/>
      <c r="AI289" s="1"/>
      <c r="AK289" s="1"/>
      <c r="AO289" s="1"/>
      <c r="AP289" s="1"/>
      <c r="AQ289" s="1"/>
      <c r="AR289" s="1"/>
      <c r="AT289" s="1"/>
      <c r="AU289" s="1"/>
      <c r="AV289" s="1"/>
      <c r="AW289" s="1"/>
      <c r="AX289" s="1"/>
      <c r="AY289" s="1"/>
    </row>
    <row r="290" spans="1:51" ht="15.75" customHeight="1" x14ac:dyDescent="0.2">
      <c r="A290" s="245"/>
      <c r="B290" s="244"/>
      <c r="C290" s="245"/>
      <c r="D290" s="1"/>
      <c r="E290" s="290"/>
      <c r="F290" s="1"/>
      <c r="L290" s="246"/>
      <c r="W290" s="1"/>
      <c r="Y290" s="1"/>
      <c r="AA290" s="1"/>
      <c r="AC290" s="1"/>
      <c r="AE290" s="1"/>
      <c r="AG290" s="1"/>
      <c r="AI290" s="1"/>
      <c r="AK290" s="1"/>
      <c r="AO290" s="1"/>
      <c r="AP290" s="1"/>
      <c r="AQ290" s="1"/>
      <c r="AR290" s="1"/>
      <c r="AT290" s="1"/>
      <c r="AU290" s="1"/>
      <c r="AV290" s="1"/>
      <c r="AW290" s="1"/>
      <c r="AX290" s="1"/>
      <c r="AY290" s="1"/>
    </row>
    <row r="291" spans="1:51" ht="15.75" customHeight="1" x14ac:dyDescent="0.2">
      <c r="A291" s="245"/>
      <c r="B291" s="244"/>
      <c r="C291" s="245"/>
      <c r="D291" s="1"/>
      <c r="E291" s="290"/>
      <c r="F291" s="1"/>
      <c r="L291" s="246"/>
      <c r="W291" s="1"/>
      <c r="Y291" s="1"/>
      <c r="AA291" s="1"/>
      <c r="AC291" s="1"/>
      <c r="AE291" s="1"/>
      <c r="AG291" s="1"/>
      <c r="AI291" s="1"/>
      <c r="AK291" s="1"/>
      <c r="AO291" s="1"/>
      <c r="AP291" s="1"/>
      <c r="AQ291" s="1"/>
      <c r="AR291" s="1"/>
      <c r="AT291" s="1"/>
      <c r="AU291" s="1"/>
      <c r="AV291" s="1"/>
      <c r="AW291" s="1"/>
      <c r="AX291" s="1"/>
      <c r="AY291" s="1"/>
    </row>
    <row r="292" spans="1:51" ht="15.75" customHeight="1" x14ac:dyDescent="0.2">
      <c r="A292" s="245"/>
      <c r="B292" s="244"/>
      <c r="C292" s="245"/>
      <c r="D292" s="1"/>
      <c r="E292" s="290"/>
      <c r="F292" s="1"/>
      <c r="L292" s="246"/>
      <c r="W292" s="1"/>
      <c r="Y292" s="1"/>
      <c r="AA292" s="1"/>
      <c r="AC292" s="1"/>
      <c r="AE292" s="1"/>
      <c r="AG292" s="1"/>
      <c r="AI292" s="1"/>
      <c r="AK292" s="1"/>
      <c r="AO292" s="1"/>
      <c r="AP292" s="1"/>
      <c r="AQ292" s="1"/>
      <c r="AR292" s="1"/>
      <c r="AT292" s="1"/>
      <c r="AU292" s="1"/>
      <c r="AV292" s="1"/>
      <c r="AW292" s="1"/>
      <c r="AX292" s="1"/>
      <c r="AY292" s="1"/>
    </row>
    <row r="293" spans="1:51" ht="15.75" customHeight="1" x14ac:dyDescent="0.2">
      <c r="A293" s="245"/>
      <c r="B293" s="244"/>
      <c r="C293" s="245"/>
      <c r="D293" s="1"/>
      <c r="E293" s="290"/>
      <c r="F293" s="1"/>
      <c r="L293" s="246"/>
      <c r="W293" s="1"/>
      <c r="Y293" s="1"/>
      <c r="AA293" s="1"/>
      <c r="AC293" s="1"/>
      <c r="AE293" s="1"/>
      <c r="AG293" s="1"/>
      <c r="AI293" s="1"/>
      <c r="AK293" s="1"/>
      <c r="AO293" s="1"/>
      <c r="AP293" s="1"/>
      <c r="AQ293" s="1"/>
      <c r="AR293" s="1"/>
      <c r="AT293" s="1"/>
      <c r="AU293" s="1"/>
      <c r="AV293" s="1"/>
      <c r="AW293" s="1"/>
      <c r="AX293" s="1"/>
      <c r="AY293" s="1"/>
    </row>
    <row r="294" spans="1:51" ht="15.75" customHeight="1" x14ac:dyDescent="0.2">
      <c r="A294" s="245"/>
      <c r="B294" s="244"/>
      <c r="C294" s="245"/>
      <c r="D294" s="1"/>
      <c r="E294" s="290"/>
      <c r="F294" s="1"/>
      <c r="L294" s="246"/>
      <c r="W294" s="1"/>
      <c r="Y294" s="1"/>
      <c r="AA294" s="1"/>
      <c r="AC294" s="1"/>
      <c r="AE294" s="1"/>
      <c r="AG294" s="1"/>
      <c r="AI294" s="1"/>
      <c r="AK294" s="1"/>
      <c r="AO294" s="1"/>
      <c r="AP294" s="1"/>
      <c r="AQ294" s="1"/>
      <c r="AR294" s="1"/>
      <c r="AT294" s="1"/>
      <c r="AU294" s="1"/>
      <c r="AV294" s="1"/>
      <c r="AW294" s="1"/>
      <c r="AX294" s="1"/>
      <c r="AY294" s="1"/>
    </row>
    <row r="295" spans="1:51" ht="15.75" customHeight="1" x14ac:dyDescent="0.2">
      <c r="A295" s="245"/>
      <c r="B295" s="244"/>
      <c r="C295" s="245"/>
      <c r="D295" s="1"/>
      <c r="E295" s="290"/>
      <c r="F295" s="1"/>
      <c r="L295" s="246"/>
      <c r="W295" s="1"/>
      <c r="Y295" s="1"/>
      <c r="AA295" s="1"/>
      <c r="AC295" s="1"/>
      <c r="AE295" s="1"/>
      <c r="AG295" s="1"/>
      <c r="AI295" s="1"/>
      <c r="AK295" s="1"/>
      <c r="AO295" s="1"/>
      <c r="AP295" s="1"/>
      <c r="AQ295" s="1"/>
      <c r="AR295" s="1"/>
      <c r="AT295" s="1"/>
      <c r="AU295" s="1"/>
      <c r="AV295" s="1"/>
      <c r="AW295" s="1"/>
      <c r="AX295" s="1"/>
      <c r="AY295" s="1"/>
    </row>
    <row r="296" spans="1:51" ht="15.75" customHeight="1" x14ac:dyDescent="0.2">
      <c r="A296" s="245"/>
      <c r="B296" s="244"/>
      <c r="C296" s="245"/>
      <c r="D296" s="1"/>
      <c r="E296" s="290"/>
      <c r="F296" s="1"/>
      <c r="L296" s="246"/>
      <c r="W296" s="1"/>
      <c r="Y296" s="1"/>
      <c r="AA296" s="1"/>
      <c r="AC296" s="1"/>
      <c r="AE296" s="1"/>
      <c r="AG296" s="1"/>
      <c r="AI296" s="1"/>
      <c r="AK296" s="1"/>
      <c r="AO296" s="1"/>
      <c r="AP296" s="1"/>
      <c r="AQ296" s="1"/>
      <c r="AR296" s="1"/>
      <c r="AT296" s="1"/>
      <c r="AU296" s="1"/>
      <c r="AV296" s="1"/>
      <c r="AW296" s="1"/>
      <c r="AX296" s="1"/>
      <c r="AY296" s="1"/>
    </row>
    <row r="297" spans="1:51" ht="15.75" customHeight="1" x14ac:dyDescent="0.2">
      <c r="A297" s="245"/>
      <c r="B297" s="244"/>
      <c r="C297" s="245"/>
      <c r="D297" s="1"/>
      <c r="E297" s="290"/>
      <c r="F297" s="1"/>
      <c r="L297" s="246"/>
      <c r="W297" s="1"/>
      <c r="Y297" s="1"/>
      <c r="AA297" s="1"/>
      <c r="AC297" s="1"/>
      <c r="AE297" s="1"/>
      <c r="AG297" s="1"/>
      <c r="AI297" s="1"/>
      <c r="AK297" s="1"/>
      <c r="AO297" s="1"/>
      <c r="AP297" s="1"/>
      <c r="AQ297" s="1"/>
      <c r="AR297" s="1"/>
      <c r="AT297" s="1"/>
      <c r="AU297" s="1"/>
      <c r="AV297" s="1"/>
      <c r="AW297" s="1"/>
      <c r="AX297" s="1"/>
      <c r="AY297" s="1"/>
    </row>
    <row r="298" spans="1:51" ht="15.75" customHeight="1" x14ac:dyDescent="0.2">
      <c r="A298" s="245"/>
      <c r="B298" s="244"/>
      <c r="C298" s="245"/>
      <c r="D298" s="1"/>
      <c r="E298" s="290"/>
      <c r="F298" s="1"/>
      <c r="L298" s="246"/>
      <c r="W298" s="1"/>
      <c r="Y298" s="1"/>
      <c r="AA298" s="1"/>
      <c r="AC298" s="1"/>
      <c r="AE298" s="1"/>
      <c r="AG298" s="1"/>
      <c r="AI298" s="1"/>
      <c r="AK298" s="1"/>
      <c r="AO298" s="1"/>
      <c r="AP298" s="1"/>
      <c r="AQ298" s="1"/>
      <c r="AR298" s="1"/>
      <c r="AT298" s="1"/>
      <c r="AU298" s="1"/>
      <c r="AV298" s="1"/>
      <c r="AW298" s="1"/>
      <c r="AX298" s="1"/>
      <c r="AY298" s="1"/>
    </row>
    <row r="299" spans="1:51" ht="15.75" customHeight="1" x14ac:dyDescent="0.2">
      <c r="A299" s="245"/>
      <c r="B299" s="244"/>
      <c r="C299" s="245"/>
      <c r="D299" s="1"/>
      <c r="E299" s="290"/>
      <c r="F299" s="1"/>
      <c r="L299" s="246"/>
      <c r="W299" s="1"/>
      <c r="Y299" s="1"/>
      <c r="AA299" s="1"/>
      <c r="AC299" s="1"/>
      <c r="AE299" s="1"/>
      <c r="AG299" s="1"/>
      <c r="AI299" s="1"/>
      <c r="AK299" s="1"/>
      <c r="AO299" s="1"/>
      <c r="AP299" s="1"/>
      <c r="AQ299" s="1"/>
      <c r="AR299" s="1"/>
      <c r="AT299" s="1"/>
      <c r="AU299" s="1"/>
      <c r="AV299" s="1"/>
      <c r="AW299" s="1"/>
      <c r="AX299" s="1"/>
      <c r="AY299" s="1"/>
    </row>
    <row r="300" spans="1:51" ht="15.75" customHeight="1" x14ac:dyDescent="0.2">
      <c r="A300" s="245"/>
      <c r="B300" s="244"/>
      <c r="C300" s="245"/>
      <c r="D300" s="1"/>
      <c r="E300" s="290"/>
      <c r="F300" s="1"/>
      <c r="L300" s="246"/>
      <c r="W300" s="1"/>
      <c r="Y300" s="1"/>
      <c r="AA300" s="1"/>
      <c r="AC300" s="1"/>
      <c r="AE300" s="1"/>
      <c r="AG300" s="1"/>
      <c r="AI300" s="1"/>
      <c r="AK300" s="1"/>
      <c r="AO300" s="1"/>
      <c r="AP300" s="1"/>
      <c r="AQ300" s="1"/>
      <c r="AR300" s="1"/>
      <c r="AT300" s="1"/>
      <c r="AU300" s="1"/>
      <c r="AV300" s="1"/>
      <c r="AW300" s="1"/>
      <c r="AX300" s="1"/>
      <c r="AY300" s="1"/>
    </row>
    <row r="301" spans="1:51" ht="15.75" customHeight="1" x14ac:dyDescent="0.2">
      <c r="A301" s="245"/>
      <c r="B301" s="244"/>
      <c r="C301" s="245"/>
      <c r="D301" s="1"/>
      <c r="E301" s="290"/>
      <c r="F301" s="1"/>
      <c r="L301" s="246"/>
      <c r="W301" s="1"/>
      <c r="Y301" s="1"/>
      <c r="AA301" s="1"/>
      <c r="AC301" s="1"/>
      <c r="AE301" s="1"/>
      <c r="AG301" s="1"/>
      <c r="AI301" s="1"/>
      <c r="AK301" s="1"/>
      <c r="AO301" s="1"/>
      <c r="AP301" s="1"/>
      <c r="AQ301" s="1"/>
      <c r="AR301" s="1"/>
      <c r="AT301" s="1"/>
      <c r="AU301" s="1"/>
      <c r="AV301" s="1"/>
      <c r="AW301" s="1"/>
      <c r="AX301" s="1"/>
      <c r="AY301" s="1"/>
    </row>
    <row r="302" spans="1:51" ht="15.75" customHeight="1" x14ac:dyDescent="0.2">
      <c r="A302" s="245"/>
      <c r="B302" s="244"/>
      <c r="C302" s="245"/>
      <c r="D302" s="1"/>
      <c r="E302" s="290"/>
      <c r="F302" s="1"/>
      <c r="L302" s="246"/>
      <c r="W302" s="1"/>
      <c r="Y302" s="1"/>
      <c r="AA302" s="1"/>
      <c r="AC302" s="1"/>
      <c r="AE302" s="1"/>
      <c r="AG302" s="1"/>
      <c r="AI302" s="1"/>
      <c r="AK302" s="1"/>
      <c r="AO302" s="1"/>
      <c r="AP302" s="1"/>
      <c r="AQ302" s="1"/>
      <c r="AR302" s="1"/>
      <c r="AT302" s="1"/>
      <c r="AU302" s="1"/>
      <c r="AV302" s="1"/>
      <c r="AW302" s="1"/>
      <c r="AX302" s="1"/>
      <c r="AY302" s="1"/>
    </row>
    <row r="303" spans="1:51" ht="15.75" customHeight="1" x14ac:dyDescent="0.2">
      <c r="A303" s="245"/>
      <c r="B303" s="244"/>
      <c r="C303" s="245"/>
      <c r="D303" s="1"/>
      <c r="E303" s="290"/>
      <c r="F303" s="1"/>
      <c r="L303" s="246"/>
      <c r="W303" s="1"/>
      <c r="Y303" s="1"/>
      <c r="AA303" s="1"/>
      <c r="AC303" s="1"/>
      <c r="AE303" s="1"/>
      <c r="AG303" s="1"/>
      <c r="AI303" s="1"/>
      <c r="AK303" s="1"/>
      <c r="AO303" s="1"/>
      <c r="AP303" s="1"/>
      <c r="AQ303" s="1"/>
      <c r="AR303" s="1"/>
      <c r="AT303" s="1"/>
      <c r="AU303" s="1"/>
      <c r="AV303" s="1"/>
      <c r="AW303" s="1"/>
      <c r="AX303" s="1"/>
      <c r="AY303" s="1"/>
    </row>
    <row r="304" spans="1:51" ht="15.75" customHeight="1" x14ac:dyDescent="0.2">
      <c r="A304" s="245"/>
      <c r="B304" s="244"/>
      <c r="C304" s="245"/>
      <c r="D304" s="1"/>
      <c r="E304" s="290"/>
      <c r="F304" s="1"/>
      <c r="L304" s="246"/>
      <c r="W304" s="1"/>
      <c r="Y304" s="1"/>
      <c r="AA304" s="1"/>
      <c r="AC304" s="1"/>
      <c r="AE304" s="1"/>
      <c r="AG304" s="1"/>
      <c r="AI304" s="1"/>
      <c r="AK304" s="1"/>
      <c r="AO304" s="1"/>
      <c r="AP304" s="1"/>
      <c r="AQ304" s="1"/>
      <c r="AR304" s="1"/>
      <c r="AT304" s="1"/>
      <c r="AU304" s="1"/>
      <c r="AV304" s="1"/>
      <c r="AW304" s="1"/>
      <c r="AX304" s="1"/>
      <c r="AY304" s="1"/>
    </row>
    <row r="305" spans="1:51" ht="15.75" customHeight="1" x14ac:dyDescent="0.2">
      <c r="A305" s="245"/>
      <c r="B305" s="244"/>
      <c r="C305" s="245"/>
      <c r="D305" s="1"/>
      <c r="E305" s="290"/>
      <c r="F305" s="1"/>
      <c r="L305" s="246"/>
      <c r="W305" s="1"/>
      <c r="Y305" s="1"/>
      <c r="AA305" s="1"/>
      <c r="AC305" s="1"/>
      <c r="AE305" s="1"/>
      <c r="AG305" s="1"/>
      <c r="AI305" s="1"/>
      <c r="AK305" s="1"/>
      <c r="AO305" s="1"/>
      <c r="AP305" s="1"/>
      <c r="AQ305" s="1"/>
      <c r="AR305" s="1"/>
      <c r="AT305" s="1"/>
      <c r="AU305" s="1"/>
      <c r="AV305" s="1"/>
      <c r="AW305" s="1"/>
      <c r="AX305" s="1"/>
      <c r="AY305" s="1"/>
    </row>
    <row r="306" spans="1:51" ht="15.75" customHeight="1" x14ac:dyDescent="0.2">
      <c r="A306" s="245"/>
      <c r="B306" s="244"/>
      <c r="C306" s="245"/>
      <c r="D306" s="1"/>
      <c r="E306" s="290"/>
      <c r="F306" s="1"/>
      <c r="L306" s="246"/>
      <c r="W306" s="1"/>
      <c r="Y306" s="1"/>
      <c r="AA306" s="1"/>
      <c r="AC306" s="1"/>
      <c r="AE306" s="1"/>
      <c r="AG306" s="1"/>
      <c r="AI306" s="1"/>
      <c r="AK306" s="1"/>
      <c r="AO306" s="1"/>
      <c r="AP306" s="1"/>
      <c r="AQ306" s="1"/>
      <c r="AR306" s="1"/>
      <c r="AT306" s="1"/>
      <c r="AU306" s="1"/>
      <c r="AV306" s="1"/>
      <c r="AW306" s="1"/>
      <c r="AX306" s="1"/>
      <c r="AY306" s="1"/>
    </row>
    <row r="307" spans="1:51" ht="15.75" customHeight="1" x14ac:dyDescent="0.2">
      <c r="A307" s="245"/>
      <c r="B307" s="244"/>
      <c r="C307" s="245"/>
      <c r="D307" s="1"/>
      <c r="E307" s="290"/>
      <c r="F307" s="1"/>
      <c r="L307" s="246"/>
      <c r="W307" s="1"/>
      <c r="Y307" s="1"/>
      <c r="AA307" s="1"/>
      <c r="AC307" s="1"/>
      <c r="AE307" s="1"/>
      <c r="AG307" s="1"/>
      <c r="AI307" s="1"/>
      <c r="AK307" s="1"/>
      <c r="AO307" s="1"/>
      <c r="AP307" s="1"/>
      <c r="AQ307" s="1"/>
      <c r="AR307" s="1"/>
      <c r="AT307" s="1"/>
      <c r="AU307" s="1"/>
      <c r="AV307" s="1"/>
      <c r="AW307" s="1"/>
      <c r="AX307" s="1"/>
      <c r="AY307" s="1"/>
    </row>
    <row r="308" spans="1:51" ht="15.75" customHeight="1" x14ac:dyDescent="0.2">
      <c r="A308" s="245"/>
      <c r="B308" s="244"/>
      <c r="C308" s="245"/>
      <c r="D308" s="1"/>
      <c r="E308" s="290"/>
      <c r="F308" s="1"/>
      <c r="L308" s="246"/>
      <c r="W308" s="1"/>
      <c r="Y308" s="1"/>
      <c r="AA308" s="1"/>
      <c r="AC308" s="1"/>
      <c r="AE308" s="1"/>
      <c r="AG308" s="1"/>
      <c r="AI308" s="1"/>
      <c r="AK308" s="1"/>
      <c r="AO308" s="1"/>
      <c r="AP308" s="1"/>
      <c r="AQ308" s="1"/>
      <c r="AR308" s="1"/>
      <c r="AT308" s="1"/>
      <c r="AU308" s="1"/>
      <c r="AV308" s="1"/>
      <c r="AW308" s="1"/>
      <c r="AX308" s="1"/>
      <c r="AY308" s="1"/>
    </row>
    <row r="309" spans="1:51" ht="15.75" customHeight="1" x14ac:dyDescent="0.2">
      <c r="A309" s="245"/>
      <c r="B309" s="244"/>
      <c r="C309" s="245"/>
      <c r="D309" s="1"/>
      <c r="E309" s="290"/>
      <c r="F309" s="1"/>
      <c r="L309" s="246"/>
      <c r="W309" s="1"/>
      <c r="Y309" s="1"/>
      <c r="AA309" s="1"/>
      <c r="AC309" s="1"/>
      <c r="AE309" s="1"/>
      <c r="AG309" s="1"/>
      <c r="AI309" s="1"/>
      <c r="AK309" s="1"/>
      <c r="AO309" s="1"/>
      <c r="AP309" s="1"/>
      <c r="AQ309" s="1"/>
      <c r="AR309" s="1"/>
      <c r="AT309" s="1"/>
      <c r="AU309" s="1"/>
      <c r="AV309" s="1"/>
      <c r="AW309" s="1"/>
      <c r="AX309" s="1"/>
      <c r="AY309" s="1"/>
    </row>
    <row r="310" spans="1:51" ht="15.75" customHeight="1" x14ac:dyDescent="0.2">
      <c r="A310" s="245"/>
      <c r="B310" s="244"/>
      <c r="C310" s="245"/>
      <c r="D310" s="1"/>
      <c r="E310" s="290"/>
      <c r="F310" s="1"/>
      <c r="L310" s="246"/>
      <c r="W310" s="1"/>
      <c r="Y310" s="1"/>
      <c r="AA310" s="1"/>
      <c r="AC310" s="1"/>
      <c r="AE310" s="1"/>
      <c r="AG310" s="1"/>
      <c r="AI310" s="1"/>
      <c r="AK310" s="1"/>
      <c r="AO310" s="1"/>
      <c r="AP310" s="1"/>
      <c r="AQ310" s="1"/>
      <c r="AR310" s="1"/>
      <c r="AT310" s="1"/>
      <c r="AU310" s="1"/>
      <c r="AV310" s="1"/>
      <c r="AW310" s="1"/>
      <c r="AX310" s="1"/>
      <c r="AY310" s="1"/>
    </row>
    <row r="311" spans="1:51" ht="15.75" customHeight="1" x14ac:dyDescent="0.2">
      <c r="A311" s="245"/>
      <c r="B311" s="244"/>
      <c r="C311" s="245"/>
      <c r="D311" s="1"/>
      <c r="E311" s="290"/>
      <c r="F311" s="1"/>
      <c r="L311" s="246"/>
      <c r="W311" s="1"/>
      <c r="Y311" s="1"/>
      <c r="AA311" s="1"/>
      <c r="AC311" s="1"/>
      <c r="AE311" s="1"/>
      <c r="AG311" s="1"/>
      <c r="AI311" s="1"/>
      <c r="AK311" s="1"/>
      <c r="AO311" s="1"/>
      <c r="AP311" s="1"/>
      <c r="AQ311" s="1"/>
      <c r="AR311" s="1"/>
      <c r="AT311" s="1"/>
      <c r="AU311" s="1"/>
      <c r="AV311" s="1"/>
      <c r="AW311" s="1"/>
      <c r="AX311" s="1"/>
      <c r="AY311" s="1"/>
    </row>
    <row r="312" spans="1:51" ht="15.75" customHeight="1" x14ac:dyDescent="0.2">
      <c r="A312" s="245"/>
      <c r="B312" s="244"/>
      <c r="C312" s="245"/>
      <c r="D312" s="1"/>
      <c r="E312" s="290"/>
      <c r="F312" s="1"/>
      <c r="L312" s="246"/>
      <c r="W312" s="1"/>
      <c r="Y312" s="1"/>
      <c r="AA312" s="1"/>
      <c r="AC312" s="1"/>
      <c r="AE312" s="1"/>
      <c r="AG312" s="1"/>
      <c r="AI312" s="1"/>
      <c r="AK312" s="1"/>
      <c r="AO312" s="1"/>
      <c r="AP312" s="1"/>
      <c r="AQ312" s="1"/>
      <c r="AR312" s="1"/>
      <c r="AT312" s="1"/>
      <c r="AU312" s="1"/>
      <c r="AV312" s="1"/>
      <c r="AW312" s="1"/>
      <c r="AX312" s="1"/>
      <c r="AY312" s="1"/>
    </row>
    <row r="313" spans="1:51" ht="15.75" customHeight="1" x14ac:dyDescent="0.2">
      <c r="A313" s="245"/>
      <c r="B313" s="244"/>
      <c r="C313" s="245"/>
      <c r="D313" s="1"/>
      <c r="E313" s="290"/>
      <c r="F313" s="1"/>
      <c r="L313" s="246"/>
      <c r="W313" s="1"/>
      <c r="Y313" s="1"/>
      <c r="AA313" s="1"/>
      <c r="AC313" s="1"/>
      <c r="AE313" s="1"/>
      <c r="AG313" s="1"/>
      <c r="AI313" s="1"/>
      <c r="AK313" s="1"/>
      <c r="AO313" s="1"/>
      <c r="AP313" s="1"/>
      <c r="AQ313" s="1"/>
      <c r="AR313" s="1"/>
      <c r="AT313" s="1"/>
      <c r="AU313" s="1"/>
      <c r="AV313" s="1"/>
      <c r="AW313" s="1"/>
      <c r="AX313" s="1"/>
      <c r="AY313" s="1"/>
    </row>
    <row r="314" spans="1:51" ht="15.75" customHeight="1" x14ac:dyDescent="0.2">
      <c r="A314" s="245"/>
      <c r="B314" s="244"/>
      <c r="C314" s="245"/>
      <c r="D314" s="1"/>
      <c r="E314" s="290"/>
      <c r="F314" s="1"/>
      <c r="L314" s="246"/>
      <c r="W314" s="1"/>
      <c r="Y314" s="1"/>
      <c r="AA314" s="1"/>
      <c r="AC314" s="1"/>
      <c r="AE314" s="1"/>
      <c r="AG314" s="1"/>
      <c r="AI314" s="1"/>
      <c r="AK314" s="1"/>
      <c r="AO314" s="1"/>
      <c r="AP314" s="1"/>
      <c r="AQ314" s="1"/>
      <c r="AR314" s="1"/>
      <c r="AT314" s="1"/>
      <c r="AU314" s="1"/>
      <c r="AV314" s="1"/>
      <c r="AW314" s="1"/>
      <c r="AX314" s="1"/>
      <c r="AY314" s="1"/>
    </row>
    <row r="315" spans="1:51" ht="15.75" customHeight="1" x14ac:dyDescent="0.2">
      <c r="A315" s="245"/>
      <c r="B315" s="244"/>
      <c r="C315" s="245"/>
      <c r="D315" s="1"/>
      <c r="E315" s="290"/>
      <c r="F315" s="1"/>
      <c r="L315" s="246"/>
      <c r="W315" s="1"/>
      <c r="Y315" s="1"/>
      <c r="AA315" s="1"/>
      <c r="AC315" s="1"/>
      <c r="AE315" s="1"/>
      <c r="AG315" s="1"/>
      <c r="AI315" s="1"/>
      <c r="AK315" s="1"/>
      <c r="AO315" s="1"/>
      <c r="AP315" s="1"/>
      <c r="AQ315" s="1"/>
      <c r="AR315" s="1"/>
      <c r="AT315" s="1"/>
      <c r="AU315" s="1"/>
      <c r="AV315" s="1"/>
      <c r="AW315" s="1"/>
      <c r="AX315" s="1"/>
      <c r="AY315" s="1"/>
    </row>
    <row r="316" spans="1:51" ht="15.75" customHeight="1" x14ac:dyDescent="0.2">
      <c r="A316" s="245"/>
      <c r="B316" s="244"/>
      <c r="C316" s="245"/>
      <c r="D316" s="1"/>
      <c r="E316" s="290"/>
      <c r="F316" s="1"/>
      <c r="L316" s="246"/>
      <c r="W316" s="1"/>
      <c r="Y316" s="1"/>
      <c r="AA316" s="1"/>
      <c r="AC316" s="1"/>
      <c r="AE316" s="1"/>
      <c r="AG316" s="1"/>
      <c r="AI316" s="1"/>
      <c r="AK316" s="1"/>
      <c r="AO316" s="1"/>
      <c r="AP316" s="1"/>
      <c r="AQ316" s="1"/>
      <c r="AR316" s="1"/>
      <c r="AT316" s="1"/>
      <c r="AU316" s="1"/>
      <c r="AV316" s="1"/>
      <c r="AW316" s="1"/>
      <c r="AX316" s="1"/>
      <c r="AY316" s="1"/>
    </row>
    <row r="317" spans="1:51" ht="15.75" customHeight="1" x14ac:dyDescent="0.2">
      <c r="A317" s="245"/>
      <c r="B317" s="244"/>
      <c r="C317" s="245"/>
      <c r="D317" s="1"/>
      <c r="E317" s="290"/>
      <c r="F317" s="1"/>
      <c r="L317" s="246"/>
      <c r="W317" s="1"/>
      <c r="Y317" s="1"/>
      <c r="AA317" s="1"/>
      <c r="AC317" s="1"/>
      <c r="AE317" s="1"/>
      <c r="AG317" s="1"/>
      <c r="AI317" s="1"/>
      <c r="AK317" s="1"/>
      <c r="AO317" s="1"/>
      <c r="AP317" s="1"/>
      <c r="AQ317" s="1"/>
      <c r="AR317" s="1"/>
      <c r="AT317" s="1"/>
      <c r="AU317" s="1"/>
      <c r="AV317" s="1"/>
      <c r="AW317" s="1"/>
      <c r="AX317" s="1"/>
      <c r="AY317" s="1"/>
    </row>
    <row r="318" spans="1:51" ht="15.75" customHeight="1" x14ac:dyDescent="0.2">
      <c r="A318" s="245"/>
      <c r="B318" s="244"/>
      <c r="C318" s="245"/>
      <c r="D318" s="1"/>
      <c r="E318" s="290"/>
      <c r="F318" s="1"/>
      <c r="L318" s="246"/>
      <c r="W318" s="1"/>
      <c r="Y318" s="1"/>
      <c r="AA318" s="1"/>
      <c r="AC318" s="1"/>
      <c r="AE318" s="1"/>
      <c r="AG318" s="1"/>
      <c r="AI318" s="1"/>
      <c r="AK318" s="1"/>
      <c r="AO318" s="1"/>
      <c r="AP318" s="1"/>
      <c r="AQ318" s="1"/>
      <c r="AR318" s="1"/>
      <c r="AT318" s="1"/>
      <c r="AU318" s="1"/>
      <c r="AV318" s="1"/>
      <c r="AW318" s="1"/>
      <c r="AX318" s="1"/>
      <c r="AY318" s="1"/>
    </row>
    <row r="319" spans="1:51" ht="15.75" customHeight="1" x14ac:dyDescent="0.2">
      <c r="A319" s="245"/>
      <c r="B319" s="244"/>
      <c r="C319" s="245"/>
      <c r="D319" s="1"/>
      <c r="E319" s="290"/>
      <c r="F319" s="1"/>
      <c r="L319" s="246"/>
      <c r="W319" s="1"/>
      <c r="Y319" s="1"/>
      <c r="AA319" s="1"/>
      <c r="AC319" s="1"/>
      <c r="AE319" s="1"/>
      <c r="AG319" s="1"/>
      <c r="AI319" s="1"/>
      <c r="AK319" s="1"/>
      <c r="AO319" s="1"/>
      <c r="AP319" s="1"/>
      <c r="AQ319" s="1"/>
      <c r="AR319" s="1"/>
      <c r="AT319" s="1"/>
      <c r="AU319" s="1"/>
      <c r="AV319" s="1"/>
      <c r="AW319" s="1"/>
      <c r="AX319" s="1"/>
      <c r="AY319" s="1"/>
    </row>
    <row r="320" spans="1:51" ht="15.75" customHeight="1" x14ac:dyDescent="0.2">
      <c r="A320" s="245"/>
      <c r="B320" s="244"/>
      <c r="C320" s="245"/>
      <c r="D320" s="1"/>
      <c r="E320" s="290"/>
      <c r="F320" s="1"/>
      <c r="L320" s="246"/>
      <c r="W320" s="1"/>
      <c r="Y320" s="1"/>
      <c r="AA320" s="1"/>
      <c r="AC320" s="1"/>
      <c r="AE320" s="1"/>
      <c r="AG320" s="1"/>
      <c r="AI320" s="1"/>
      <c r="AK320" s="1"/>
      <c r="AO320" s="1"/>
      <c r="AP320" s="1"/>
      <c r="AQ320" s="1"/>
      <c r="AR320" s="1"/>
      <c r="AT320" s="1"/>
      <c r="AU320" s="1"/>
      <c r="AV320" s="1"/>
      <c r="AW320" s="1"/>
      <c r="AX320" s="1"/>
      <c r="AY320" s="1"/>
    </row>
    <row r="321" spans="1:51" ht="15.75" customHeight="1" x14ac:dyDescent="0.2">
      <c r="A321" s="245"/>
      <c r="B321" s="244"/>
      <c r="C321" s="245"/>
      <c r="D321" s="1"/>
      <c r="E321" s="290"/>
      <c r="F321" s="1"/>
      <c r="L321" s="246"/>
      <c r="W321" s="1"/>
      <c r="Y321" s="1"/>
      <c r="AA321" s="1"/>
      <c r="AC321" s="1"/>
      <c r="AE321" s="1"/>
      <c r="AG321" s="1"/>
      <c r="AI321" s="1"/>
      <c r="AK321" s="1"/>
      <c r="AO321" s="1"/>
      <c r="AP321" s="1"/>
      <c r="AQ321" s="1"/>
      <c r="AR321" s="1"/>
      <c r="AT321" s="1"/>
      <c r="AU321" s="1"/>
      <c r="AV321" s="1"/>
      <c r="AW321" s="1"/>
      <c r="AX321" s="1"/>
      <c r="AY321" s="1"/>
    </row>
    <row r="322" spans="1:51" ht="15.75" customHeight="1" x14ac:dyDescent="0.2">
      <c r="A322" s="245"/>
      <c r="B322" s="244"/>
      <c r="C322" s="245"/>
      <c r="D322" s="1"/>
      <c r="E322" s="290"/>
      <c r="F322" s="1"/>
      <c r="L322" s="246"/>
      <c r="W322" s="1"/>
      <c r="Y322" s="1"/>
      <c r="AA322" s="1"/>
      <c r="AC322" s="1"/>
      <c r="AE322" s="1"/>
      <c r="AG322" s="1"/>
      <c r="AI322" s="1"/>
      <c r="AK322" s="1"/>
      <c r="AO322" s="1"/>
      <c r="AP322" s="1"/>
      <c r="AQ322" s="1"/>
      <c r="AR322" s="1"/>
      <c r="AT322" s="1"/>
      <c r="AU322" s="1"/>
      <c r="AV322" s="1"/>
      <c r="AW322" s="1"/>
      <c r="AX322" s="1"/>
      <c r="AY322" s="1"/>
    </row>
    <row r="323" spans="1:51" ht="15.75" customHeight="1" x14ac:dyDescent="0.2">
      <c r="A323" s="245"/>
      <c r="B323" s="244"/>
      <c r="C323" s="245"/>
      <c r="D323" s="1"/>
      <c r="E323" s="290"/>
      <c r="F323" s="1"/>
      <c r="L323" s="246"/>
      <c r="W323" s="1"/>
      <c r="Y323" s="1"/>
      <c r="AA323" s="1"/>
      <c r="AC323" s="1"/>
      <c r="AE323" s="1"/>
      <c r="AG323" s="1"/>
      <c r="AI323" s="1"/>
      <c r="AK323" s="1"/>
      <c r="AO323" s="1"/>
      <c r="AP323" s="1"/>
      <c r="AQ323" s="1"/>
      <c r="AR323" s="1"/>
      <c r="AT323" s="1"/>
      <c r="AU323" s="1"/>
      <c r="AV323" s="1"/>
      <c r="AW323" s="1"/>
      <c r="AX323" s="1"/>
      <c r="AY323" s="1"/>
    </row>
    <row r="324" spans="1:51" ht="15.75" customHeight="1" x14ac:dyDescent="0.2">
      <c r="A324" s="245"/>
      <c r="B324" s="244"/>
      <c r="C324" s="245"/>
      <c r="D324" s="1"/>
      <c r="E324" s="290"/>
      <c r="F324" s="1"/>
      <c r="L324" s="246"/>
      <c r="W324" s="1"/>
      <c r="Y324" s="1"/>
      <c r="AA324" s="1"/>
      <c r="AC324" s="1"/>
      <c r="AE324" s="1"/>
      <c r="AG324" s="1"/>
      <c r="AI324" s="1"/>
      <c r="AK324" s="1"/>
      <c r="AO324" s="1"/>
      <c r="AP324" s="1"/>
      <c r="AQ324" s="1"/>
      <c r="AR324" s="1"/>
      <c r="AT324" s="1"/>
      <c r="AU324" s="1"/>
      <c r="AV324" s="1"/>
      <c r="AW324" s="1"/>
      <c r="AX324" s="1"/>
      <c r="AY324" s="1"/>
    </row>
    <row r="325" spans="1:51" ht="15.75" customHeight="1" x14ac:dyDescent="0.2">
      <c r="A325" s="245"/>
      <c r="B325" s="244"/>
      <c r="C325" s="245"/>
      <c r="D325" s="1"/>
      <c r="E325" s="290"/>
      <c r="F325" s="1"/>
      <c r="L325" s="246"/>
      <c r="W325" s="1"/>
      <c r="Y325" s="1"/>
      <c r="AA325" s="1"/>
      <c r="AC325" s="1"/>
      <c r="AE325" s="1"/>
      <c r="AG325" s="1"/>
      <c r="AI325" s="1"/>
      <c r="AK325" s="1"/>
      <c r="AO325" s="1"/>
      <c r="AP325" s="1"/>
      <c r="AQ325" s="1"/>
      <c r="AR325" s="1"/>
      <c r="AT325" s="1"/>
      <c r="AU325" s="1"/>
      <c r="AV325" s="1"/>
      <c r="AW325" s="1"/>
      <c r="AX325" s="1"/>
      <c r="AY325" s="1"/>
    </row>
    <row r="326" spans="1:51" ht="15.75" customHeight="1" x14ac:dyDescent="0.2">
      <c r="A326" s="245"/>
      <c r="B326" s="244"/>
      <c r="C326" s="245"/>
      <c r="D326" s="1"/>
      <c r="E326" s="290"/>
      <c r="F326" s="1"/>
      <c r="L326" s="246"/>
      <c r="W326" s="1"/>
      <c r="Y326" s="1"/>
      <c r="AA326" s="1"/>
      <c r="AC326" s="1"/>
      <c r="AE326" s="1"/>
      <c r="AG326" s="1"/>
      <c r="AI326" s="1"/>
      <c r="AK326" s="1"/>
      <c r="AO326" s="1"/>
      <c r="AP326" s="1"/>
      <c r="AQ326" s="1"/>
      <c r="AR326" s="1"/>
      <c r="AT326" s="1"/>
      <c r="AU326" s="1"/>
      <c r="AV326" s="1"/>
      <c r="AW326" s="1"/>
      <c r="AX326" s="1"/>
      <c r="AY326" s="1"/>
    </row>
    <row r="327" spans="1:51" ht="15.75" customHeight="1" x14ac:dyDescent="0.2">
      <c r="A327" s="245"/>
      <c r="B327" s="244"/>
      <c r="C327" s="245"/>
      <c r="D327" s="1"/>
      <c r="E327" s="290"/>
      <c r="F327" s="1"/>
      <c r="L327" s="246"/>
      <c r="W327" s="1"/>
      <c r="Y327" s="1"/>
      <c r="AA327" s="1"/>
      <c r="AC327" s="1"/>
      <c r="AE327" s="1"/>
      <c r="AG327" s="1"/>
      <c r="AI327" s="1"/>
      <c r="AK327" s="1"/>
      <c r="AO327" s="1"/>
      <c r="AP327" s="1"/>
      <c r="AQ327" s="1"/>
      <c r="AR327" s="1"/>
      <c r="AT327" s="1"/>
      <c r="AU327" s="1"/>
      <c r="AV327" s="1"/>
      <c r="AW327" s="1"/>
      <c r="AX327" s="1"/>
      <c r="AY327" s="1"/>
    </row>
    <row r="328" spans="1:51" ht="15.75" customHeight="1" x14ac:dyDescent="0.2">
      <c r="A328" s="245"/>
      <c r="B328" s="244"/>
      <c r="C328" s="245"/>
      <c r="D328" s="1"/>
      <c r="E328" s="290"/>
      <c r="F328" s="1"/>
      <c r="L328" s="246"/>
      <c r="W328" s="1"/>
      <c r="Y328" s="1"/>
      <c r="AA328" s="1"/>
      <c r="AC328" s="1"/>
      <c r="AE328" s="1"/>
      <c r="AG328" s="1"/>
      <c r="AI328" s="1"/>
      <c r="AK328" s="1"/>
      <c r="AO328" s="1"/>
      <c r="AP328" s="1"/>
      <c r="AQ328" s="1"/>
      <c r="AR328" s="1"/>
      <c r="AT328" s="1"/>
      <c r="AU328" s="1"/>
      <c r="AV328" s="1"/>
      <c r="AW328" s="1"/>
      <c r="AX328" s="1"/>
      <c r="AY328" s="1"/>
    </row>
    <row r="329" spans="1:51" ht="15.75" customHeight="1" x14ac:dyDescent="0.2">
      <c r="A329" s="245"/>
      <c r="B329" s="244"/>
      <c r="C329" s="245"/>
      <c r="D329" s="1"/>
      <c r="E329" s="290"/>
      <c r="F329" s="1"/>
      <c r="L329" s="246"/>
      <c r="W329" s="1"/>
      <c r="Y329" s="1"/>
      <c r="AA329" s="1"/>
      <c r="AC329" s="1"/>
      <c r="AE329" s="1"/>
      <c r="AG329" s="1"/>
      <c r="AI329" s="1"/>
      <c r="AK329" s="1"/>
      <c r="AO329" s="1"/>
      <c r="AP329" s="1"/>
      <c r="AQ329" s="1"/>
      <c r="AR329" s="1"/>
      <c r="AT329" s="1"/>
      <c r="AU329" s="1"/>
      <c r="AV329" s="1"/>
      <c r="AW329" s="1"/>
      <c r="AX329" s="1"/>
      <c r="AY329" s="1"/>
    </row>
    <row r="330" spans="1:51" ht="15.75" customHeight="1" x14ac:dyDescent="0.2">
      <c r="A330" s="245"/>
      <c r="B330" s="244"/>
      <c r="C330" s="245"/>
      <c r="D330" s="1"/>
      <c r="E330" s="290"/>
      <c r="F330" s="1"/>
      <c r="L330" s="246"/>
      <c r="W330" s="1"/>
      <c r="Y330" s="1"/>
      <c r="AA330" s="1"/>
      <c r="AC330" s="1"/>
      <c r="AE330" s="1"/>
      <c r="AG330" s="1"/>
      <c r="AI330" s="1"/>
      <c r="AK330" s="1"/>
      <c r="AO330" s="1"/>
      <c r="AP330" s="1"/>
      <c r="AQ330" s="1"/>
      <c r="AR330" s="1"/>
      <c r="AT330" s="1"/>
      <c r="AU330" s="1"/>
      <c r="AV330" s="1"/>
      <c r="AW330" s="1"/>
      <c r="AX330" s="1"/>
      <c r="AY330" s="1"/>
    </row>
    <row r="331" spans="1:51" ht="15.75" customHeight="1" x14ac:dyDescent="0.2">
      <c r="A331" s="245"/>
      <c r="B331" s="244"/>
      <c r="C331" s="245"/>
      <c r="D331" s="1"/>
      <c r="E331" s="290"/>
      <c r="F331" s="1"/>
      <c r="L331" s="246"/>
      <c r="W331" s="1"/>
      <c r="Y331" s="1"/>
      <c r="AA331" s="1"/>
      <c r="AC331" s="1"/>
      <c r="AE331" s="1"/>
      <c r="AG331" s="1"/>
      <c r="AI331" s="1"/>
      <c r="AK331" s="1"/>
      <c r="AO331" s="1"/>
      <c r="AP331" s="1"/>
      <c r="AQ331" s="1"/>
      <c r="AR331" s="1"/>
      <c r="AT331" s="1"/>
      <c r="AU331" s="1"/>
      <c r="AV331" s="1"/>
      <c r="AW331" s="1"/>
      <c r="AX331" s="1"/>
      <c r="AY331" s="1"/>
    </row>
    <row r="332" spans="1:51" ht="15.75" customHeight="1" x14ac:dyDescent="0.2">
      <c r="A332" s="245"/>
      <c r="B332" s="244"/>
      <c r="C332" s="245"/>
      <c r="D332" s="1"/>
      <c r="E332" s="290"/>
      <c r="F332" s="1"/>
      <c r="L332" s="246"/>
      <c r="W332" s="1"/>
      <c r="Y332" s="1"/>
      <c r="AA332" s="1"/>
      <c r="AC332" s="1"/>
      <c r="AE332" s="1"/>
      <c r="AG332" s="1"/>
      <c r="AI332" s="1"/>
      <c r="AK332" s="1"/>
      <c r="AO332" s="1"/>
      <c r="AP332" s="1"/>
      <c r="AQ332" s="1"/>
      <c r="AR332" s="1"/>
      <c r="AT332" s="1"/>
      <c r="AU332" s="1"/>
      <c r="AV332" s="1"/>
      <c r="AW332" s="1"/>
      <c r="AX332" s="1"/>
      <c r="AY332" s="1"/>
    </row>
    <row r="333" spans="1:51" ht="15.75" customHeight="1" x14ac:dyDescent="0.2">
      <c r="A333" s="245"/>
      <c r="B333" s="244"/>
      <c r="C333" s="245"/>
      <c r="D333" s="1"/>
      <c r="E333" s="290"/>
      <c r="F333" s="1"/>
      <c r="L333" s="246"/>
      <c r="W333" s="1"/>
      <c r="Y333" s="1"/>
      <c r="AA333" s="1"/>
      <c r="AC333" s="1"/>
      <c r="AE333" s="1"/>
      <c r="AG333" s="1"/>
      <c r="AI333" s="1"/>
      <c r="AK333" s="1"/>
      <c r="AO333" s="1"/>
      <c r="AP333" s="1"/>
      <c r="AQ333" s="1"/>
      <c r="AR333" s="1"/>
      <c r="AT333" s="1"/>
      <c r="AU333" s="1"/>
      <c r="AV333" s="1"/>
      <c r="AW333" s="1"/>
      <c r="AX333" s="1"/>
      <c r="AY333" s="1"/>
    </row>
    <row r="334" spans="1:51" ht="15.75" customHeight="1" x14ac:dyDescent="0.2">
      <c r="A334" s="245"/>
      <c r="B334" s="244"/>
      <c r="C334" s="245"/>
      <c r="D334" s="1"/>
      <c r="E334" s="290"/>
      <c r="F334" s="1"/>
      <c r="L334" s="246"/>
      <c r="W334" s="1"/>
      <c r="Y334" s="1"/>
      <c r="AA334" s="1"/>
      <c r="AC334" s="1"/>
      <c r="AE334" s="1"/>
      <c r="AG334" s="1"/>
      <c r="AI334" s="1"/>
      <c r="AK334" s="1"/>
      <c r="AO334" s="1"/>
      <c r="AP334" s="1"/>
      <c r="AQ334" s="1"/>
      <c r="AR334" s="1"/>
      <c r="AT334" s="1"/>
      <c r="AU334" s="1"/>
      <c r="AV334" s="1"/>
      <c r="AW334" s="1"/>
      <c r="AX334" s="1"/>
      <c r="AY334" s="1"/>
    </row>
    <row r="335" spans="1:51" ht="15.75" customHeight="1" x14ac:dyDescent="0.2">
      <c r="A335" s="245"/>
      <c r="B335" s="244"/>
      <c r="C335" s="245"/>
      <c r="D335" s="1"/>
      <c r="E335" s="290"/>
      <c r="F335" s="1"/>
      <c r="L335" s="246"/>
      <c r="W335" s="1"/>
      <c r="Y335" s="1"/>
      <c r="AA335" s="1"/>
      <c r="AC335" s="1"/>
      <c r="AE335" s="1"/>
      <c r="AG335" s="1"/>
      <c r="AI335" s="1"/>
      <c r="AK335" s="1"/>
      <c r="AO335" s="1"/>
      <c r="AP335" s="1"/>
      <c r="AQ335" s="1"/>
      <c r="AR335" s="1"/>
      <c r="AT335" s="1"/>
      <c r="AU335" s="1"/>
      <c r="AV335" s="1"/>
      <c r="AW335" s="1"/>
      <c r="AX335" s="1"/>
      <c r="AY335" s="1"/>
    </row>
    <row r="336" spans="1:51" ht="15.75" customHeight="1" x14ac:dyDescent="0.2">
      <c r="A336" s="245"/>
      <c r="B336" s="244"/>
      <c r="C336" s="245"/>
      <c r="D336" s="1"/>
      <c r="E336" s="290"/>
      <c r="F336" s="1"/>
      <c r="L336" s="246"/>
      <c r="W336" s="1"/>
      <c r="Y336" s="1"/>
      <c r="AA336" s="1"/>
      <c r="AC336" s="1"/>
      <c r="AE336" s="1"/>
      <c r="AG336" s="1"/>
      <c r="AI336" s="1"/>
      <c r="AK336" s="1"/>
      <c r="AO336" s="1"/>
      <c r="AP336" s="1"/>
      <c r="AQ336" s="1"/>
      <c r="AR336" s="1"/>
      <c r="AT336" s="1"/>
      <c r="AU336" s="1"/>
      <c r="AV336" s="1"/>
      <c r="AW336" s="1"/>
      <c r="AX336" s="1"/>
      <c r="AY336" s="1"/>
    </row>
    <row r="337" spans="1:51" ht="15.75" customHeight="1" x14ac:dyDescent="0.2">
      <c r="A337" s="245"/>
      <c r="B337" s="244"/>
      <c r="C337" s="245"/>
      <c r="D337" s="1"/>
      <c r="E337" s="290"/>
      <c r="F337" s="1"/>
      <c r="L337" s="246"/>
      <c r="W337" s="1"/>
      <c r="Y337" s="1"/>
      <c r="AA337" s="1"/>
      <c r="AC337" s="1"/>
      <c r="AE337" s="1"/>
      <c r="AG337" s="1"/>
      <c r="AI337" s="1"/>
      <c r="AK337" s="1"/>
      <c r="AO337" s="1"/>
      <c r="AP337" s="1"/>
      <c r="AQ337" s="1"/>
      <c r="AR337" s="1"/>
      <c r="AT337" s="1"/>
      <c r="AU337" s="1"/>
      <c r="AV337" s="1"/>
      <c r="AW337" s="1"/>
      <c r="AX337" s="1"/>
      <c r="AY337" s="1"/>
    </row>
    <row r="338" spans="1:51" ht="15.75" customHeight="1" x14ac:dyDescent="0.2">
      <c r="A338" s="245"/>
      <c r="B338" s="244"/>
      <c r="C338" s="245"/>
      <c r="D338" s="1"/>
      <c r="E338" s="290"/>
      <c r="F338" s="1"/>
      <c r="L338" s="246"/>
      <c r="W338" s="1"/>
      <c r="Y338" s="1"/>
      <c r="AA338" s="1"/>
      <c r="AC338" s="1"/>
      <c r="AE338" s="1"/>
      <c r="AG338" s="1"/>
      <c r="AI338" s="1"/>
      <c r="AK338" s="1"/>
      <c r="AO338" s="1"/>
      <c r="AP338" s="1"/>
      <c r="AQ338" s="1"/>
      <c r="AR338" s="1"/>
      <c r="AT338" s="1"/>
      <c r="AU338" s="1"/>
      <c r="AV338" s="1"/>
      <c r="AW338" s="1"/>
      <c r="AX338" s="1"/>
      <c r="AY338" s="1"/>
    </row>
    <row r="339" spans="1:51" ht="15.75" customHeight="1" x14ac:dyDescent="0.2">
      <c r="A339" s="245"/>
      <c r="B339" s="244"/>
      <c r="C339" s="245"/>
      <c r="D339" s="1"/>
      <c r="E339" s="290"/>
      <c r="F339" s="1"/>
      <c r="L339" s="246"/>
      <c r="W339" s="1"/>
      <c r="Y339" s="1"/>
      <c r="AA339" s="1"/>
      <c r="AC339" s="1"/>
      <c r="AE339" s="1"/>
      <c r="AG339" s="1"/>
      <c r="AI339" s="1"/>
      <c r="AK339" s="1"/>
      <c r="AO339" s="1"/>
      <c r="AP339" s="1"/>
      <c r="AQ339" s="1"/>
      <c r="AR339" s="1"/>
      <c r="AT339" s="1"/>
      <c r="AU339" s="1"/>
      <c r="AV339" s="1"/>
      <c r="AW339" s="1"/>
      <c r="AX339" s="1"/>
      <c r="AY339" s="1"/>
    </row>
    <row r="340" spans="1:51" ht="15.75" customHeight="1" x14ac:dyDescent="0.2">
      <c r="A340" s="245"/>
      <c r="B340" s="244"/>
      <c r="C340" s="245"/>
      <c r="D340" s="1"/>
      <c r="E340" s="290"/>
      <c r="F340" s="1"/>
      <c r="L340" s="246"/>
      <c r="W340" s="1"/>
      <c r="Y340" s="1"/>
      <c r="AA340" s="1"/>
      <c r="AC340" s="1"/>
      <c r="AE340" s="1"/>
      <c r="AG340" s="1"/>
      <c r="AI340" s="1"/>
      <c r="AK340" s="1"/>
      <c r="AO340" s="1"/>
      <c r="AP340" s="1"/>
      <c r="AQ340" s="1"/>
      <c r="AR340" s="1"/>
      <c r="AT340" s="1"/>
      <c r="AU340" s="1"/>
      <c r="AV340" s="1"/>
      <c r="AW340" s="1"/>
      <c r="AX340" s="1"/>
      <c r="AY340" s="1"/>
    </row>
    <row r="341" spans="1:51" ht="15.75" customHeight="1" x14ac:dyDescent="0.2">
      <c r="A341" s="245"/>
      <c r="B341" s="244"/>
      <c r="C341" s="245"/>
      <c r="D341" s="1"/>
      <c r="E341" s="290"/>
      <c r="F341" s="1"/>
      <c r="L341" s="246"/>
      <c r="W341" s="1"/>
      <c r="Y341" s="1"/>
      <c r="AA341" s="1"/>
      <c r="AC341" s="1"/>
      <c r="AE341" s="1"/>
      <c r="AG341" s="1"/>
      <c r="AI341" s="1"/>
      <c r="AK341" s="1"/>
      <c r="AO341" s="1"/>
      <c r="AP341" s="1"/>
      <c r="AQ341" s="1"/>
      <c r="AR341" s="1"/>
      <c r="AT341" s="1"/>
      <c r="AU341" s="1"/>
      <c r="AV341" s="1"/>
      <c r="AW341" s="1"/>
      <c r="AX341" s="1"/>
      <c r="AY341" s="1"/>
    </row>
    <row r="342" spans="1:51" ht="15.75" customHeight="1" x14ac:dyDescent="0.2">
      <c r="A342" s="245"/>
      <c r="B342" s="244"/>
      <c r="C342" s="245"/>
      <c r="D342" s="1"/>
      <c r="E342" s="290"/>
      <c r="F342" s="1"/>
      <c r="L342" s="246"/>
      <c r="W342" s="1"/>
      <c r="Y342" s="1"/>
      <c r="AA342" s="1"/>
      <c r="AC342" s="1"/>
      <c r="AE342" s="1"/>
      <c r="AG342" s="1"/>
      <c r="AI342" s="1"/>
      <c r="AK342" s="1"/>
      <c r="AO342" s="1"/>
      <c r="AP342" s="1"/>
      <c r="AQ342" s="1"/>
      <c r="AR342" s="1"/>
      <c r="AT342" s="1"/>
      <c r="AU342" s="1"/>
      <c r="AV342" s="1"/>
      <c r="AW342" s="1"/>
      <c r="AX342" s="1"/>
      <c r="AY342" s="1"/>
    </row>
    <row r="343" spans="1:51" ht="15.75" customHeight="1" x14ac:dyDescent="0.2">
      <c r="A343" s="245"/>
      <c r="B343" s="244"/>
      <c r="C343" s="245"/>
      <c r="D343" s="1"/>
      <c r="E343" s="290"/>
      <c r="F343" s="1"/>
      <c r="L343" s="246"/>
      <c r="W343" s="1"/>
      <c r="Y343" s="1"/>
      <c r="AA343" s="1"/>
      <c r="AC343" s="1"/>
      <c r="AE343" s="1"/>
      <c r="AG343" s="1"/>
      <c r="AI343" s="1"/>
      <c r="AK343" s="1"/>
      <c r="AO343" s="1"/>
      <c r="AP343" s="1"/>
      <c r="AQ343" s="1"/>
      <c r="AR343" s="1"/>
      <c r="AT343" s="1"/>
      <c r="AU343" s="1"/>
      <c r="AV343" s="1"/>
      <c r="AW343" s="1"/>
      <c r="AX343" s="1"/>
      <c r="AY343" s="1"/>
    </row>
    <row r="344" spans="1:51" ht="15.75" customHeight="1" x14ac:dyDescent="0.2">
      <c r="A344" s="245"/>
      <c r="B344" s="244"/>
      <c r="C344" s="245"/>
      <c r="D344" s="1"/>
      <c r="E344" s="290"/>
      <c r="F344" s="1"/>
      <c r="L344" s="246"/>
      <c r="W344" s="1"/>
      <c r="Y344" s="1"/>
      <c r="AA344" s="1"/>
      <c r="AC344" s="1"/>
      <c r="AE344" s="1"/>
      <c r="AG344" s="1"/>
      <c r="AI344" s="1"/>
      <c r="AK344" s="1"/>
      <c r="AO344" s="1"/>
      <c r="AP344" s="1"/>
      <c r="AQ344" s="1"/>
      <c r="AR344" s="1"/>
      <c r="AT344" s="1"/>
      <c r="AU344" s="1"/>
      <c r="AV344" s="1"/>
      <c r="AW344" s="1"/>
      <c r="AX344" s="1"/>
      <c r="AY344" s="1"/>
    </row>
    <row r="345" spans="1:51" ht="15.75" customHeight="1" x14ac:dyDescent="0.2">
      <c r="A345" s="245"/>
      <c r="B345" s="244"/>
      <c r="C345" s="245"/>
      <c r="D345" s="1"/>
      <c r="E345" s="290"/>
      <c r="F345" s="1"/>
      <c r="L345" s="246"/>
      <c r="W345" s="1"/>
      <c r="Y345" s="1"/>
      <c r="AA345" s="1"/>
      <c r="AC345" s="1"/>
      <c r="AE345" s="1"/>
      <c r="AG345" s="1"/>
      <c r="AI345" s="1"/>
      <c r="AK345" s="1"/>
      <c r="AO345" s="1"/>
      <c r="AP345" s="1"/>
      <c r="AQ345" s="1"/>
      <c r="AR345" s="1"/>
      <c r="AT345" s="1"/>
      <c r="AU345" s="1"/>
      <c r="AV345" s="1"/>
      <c r="AW345" s="1"/>
      <c r="AX345" s="1"/>
      <c r="AY345" s="1"/>
    </row>
    <row r="346" spans="1:51" ht="15.75" customHeight="1" x14ac:dyDescent="0.2">
      <c r="A346" s="245"/>
      <c r="B346" s="244"/>
      <c r="C346" s="245"/>
      <c r="D346" s="1"/>
      <c r="E346" s="290"/>
      <c r="F346" s="1"/>
      <c r="L346" s="246"/>
      <c r="W346" s="1"/>
      <c r="Y346" s="1"/>
      <c r="AA346" s="1"/>
      <c r="AC346" s="1"/>
      <c r="AE346" s="1"/>
      <c r="AG346" s="1"/>
      <c r="AI346" s="1"/>
      <c r="AK346" s="1"/>
      <c r="AO346" s="1"/>
      <c r="AP346" s="1"/>
      <c r="AQ346" s="1"/>
      <c r="AR346" s="1"/>
      <c r="AT346" s="1"/>
      <c r="AU346" s="1"/>
      <c r="AV346" s="1"/>
      <c r="AW346" s="1"/>
      <c r="AX346" s="1"/>
      <c r="AY346" s="1"/>
    </row>
    <row r="347" spans="1:51" ht="15.75" customHeight="1" x14ac:dyDescent="0.2">
      <c r="A347" s="245"/>
      <c r="B347" s="244"/>
      <c r="C347" s="245"/>
      <c r="D347" s="1"/>
      <c r="E347" s="290"/>
      <c r="F347" s="1"/>
      <c r="L347" s="246"/>
      <c r="W347" s="1"/>
      <c r="Y347" s="1"/>
      <c r="AA347" s="1"/>
      <c r="AC347" s="1"/>
      <c r="AE347" s="1"/>
      <c r="AG347" s="1"/>
      <c r="AI347" s="1"/>
      <c r="AK347" s="1"/>
      <c r="AO347" s="1"/>
      <c r="AP347" s="1"/>
      <c r="AQ347" s="1"/>
      <c r="AR347" s="1"/>
      <c r="AT347" s="1"/>
      <c r="AU347" s="1"/>
      <c r="AV347" s="1"/>
      <c r="AW347" s="1"/>
      <c r="AX347" s="1"/>
      <c r="AY347" s="1"/>
    </row>
    <row r="348" spans="1:51" ht="15.75" customHeight="1" x14ac:dyDescent="0.2">
      <c r="A348" s="245"/>
      <c r="B348" s="244"/>
      <c r="C348" s="245"/>
      <c r="D348" s="1"/>
      <c r="E348" s="290"/>
      <c r="F348" s="1"/>
      <c r="L348" s="246"/>
      <c r="W348" s="1"/>
      <c r="Y348" s="1"/>
      <c r="AA348" s="1"/>
      <c r="AC348" s="1"/>
      <c r="AE348" s="1"/>
      <c r="AG348" s="1"/>
      <c r="AI348" s="1"/>
      <c r="AK348" s="1"/>
      <c r="AO348" s="1"/>
      <c r="AP348" s="1"/>
      <c r="AQ348" s="1"/>
      <c r="AR348" s="1"/>
      <c r="AT348" s="1"/>
      <c r="AU348" s="1"/>
      <c r="AV348" s="1"/>
      <c r="AW348" s="1"/>
      <c r="AX348" s="1"/>
      <c r="AY348" s="1"/>
    </row>
    <row r="349" spans="1:51" ht="15.75" customHeight="1" x14ac:dyDescent="0.2">
      <c r="A349" s="245"/>
      <c r="B349" s="244"/>
      <c r="C349" s="245"/>
      <c r="D349" s="1"/>
      <c r="E349" s="290"/>
      <c r="F349" s="1"/>
      <c r="L349" s="246"/>
      <c r="W349" s="1"/>
      <c r="Y349" s="1"/>
      <c r="AA349" s="1"/>
      <c r="AC349" s="1"/>
      <c r="AE349" s="1"/>
      <c r="AG349" s="1"/>
      <c r="AI349" s="1"/>
      <c r="AK349" s="1"/>
      <c r="AO349" s="1"/>
      <c r="AP349" s="1"/>
      <c r="AQ349" s="1"/>
      <c r="AR349" s="1"/>
      <c r="AT349" s="1"/>
      <c r="AU349" s="1"/>
      <c r="AV349" s="1"/>
      <c r="AW349" s="1"/>
      <c r="AX349" s="1"/>
      <c r="AY349" s="1"/>
    </row>
    <row r="350" spans="1:51" ht="15.75" customHeight="1" x14ac:dyDescent="0.2">
      <c r="A350" s="245"/>
      <c r="B350" s="244"/>
      <c r="C350" s="245"/>
      <c r="D350" s="1"/>
      <c r="E350" s="290"/>
      <c r="F350" s="1"/>
      <c r="L350" s="246"/>
      <c r="W350" s="1"/>
      <c r="Y350" s="1"/>
      <c r="AA350" s="1"/>
      <c r="AC350" s="1"/>
      <c r="AE350" s="1"/>
      <c r="AG350" s="1"/>
      <c r="AI350" s="1"/>
      <c r="AK350" s="1"/>
      <c r="AO350" s="1"/>
      <c r="AP350" s="1"/>
      <c r="AQ350" s="1"/>
      <c r="AR350" s="1"/>
      <c r="AT350" s="1"/>
      <c r="AU350" s="1"/>
      <c r="AV350" s="1"/>
      <c r="AW350" s="1"/>
      <c r="AX350" s="1"/>
      <c r="AY350" s="1"/>
    </row>
    <row r="351" spans="1:51" ht="15.75" customHeight="1" x14ac:dyDescent="0.2">
      <c r="A351" s="245"/>
      <c r="B351" s="244"/>
      <c r="C351" s="245"/>
      <c r="D351" s="1"/>
      <c r="E351" s="290"/>
      <c r="F351" s="1"/>
      <c r="L351" s="246"/>
      <c r="W351" s="1"/>
      <c r="Y351" s="1"/>
      <c r="AA351" s="1"/>
      <c r="AC351" s="1"/>
      <c r="AE351" s="1"/>
      <c r="AG351" s="1"/>
      <c r="AI351" s="1"/>
      <c r="AK351" s="1"/>
      <c r="AO351" s="1"/>
      <c r="AP351" s="1"/>
      <c r="AQ351" s="1"/>
      <c r="AR351" s="1"/>
      <c r="AT351" s="1"/>
      <c r="AU351" s="1"/>
      <c r="AV351" s="1"/>
      <c r="AW351" s="1"/>
      <c r="AX351" s="1"/>
      <c r="AY351" s="1"/>
    </row>
    <row r="352" spans="1:51" ht="15.75" customHeight="1" x14ac:dyDescent="0.2">
      <c r="A352" s="245"/>
      <c r="B352" s="244"/>
      <c r="C352" s="245"/>
      <c r="D352" s="1"/>
      <c r="E352" s="290"/>
      <c r="F352" s="1"/>
      <c r="L352" s="246"/>
      <c r="W352" s="1"/>
      <c r="Y352" s="1"/>
      <c r="AA352" s="1"/>
      <c r="AC352" s="1"/>
      <c r="AE352" s="1"/>
      <c r="AG352" s="1"/>
      <c r="AI352" s="1"/>
      <c r="AK352" s="1"/>
      <c r="AO352" s="1"/>
      <c r="AP352" s="1"/>
      <c r="AQ352" s="1"/>
      <c r="AR352" s="1"/>
      <c r="AT352" s="1"/>
      <c r="AU352" s="1"/>
      <c r="AV352" s="1"/>
      <c r="AW352" s="1"/>
      <c r="AX352" s="1"/>
      <c r="AY352" s="1"/>
    </row>
    <row r="353" spans="1:51" ht="15.75" customHeight="1" x14ac:dyDescent="0.2">
      <c r="A353" s="245"/>
      <c r="B353" s="244"/>
      <c r="C353" s="245"/>
      <c r="D353" s="1"/>
      <c r="E353" s="290"/>
      <c r="F353" s="1"/>
      <c r="L353" s="246"/>
      <c r="W353" s="1"/>
      <c r="Y353" s="1"/>
      <c r="AA353" s="1"/>
      <c r="AC353" s="1"/>
      <c r="AE353" s="1"/>
      <c r="AG353" s="1"/>
      <c r="AI353" s="1"/>
      <c r="AK353" s="1"/>
      <c r="AO353" s="1"/>
      <c r="AP353" s="1"/>
      <c r="AQ353" s="1"/>
      <c r="AR353" s="1"/>
      <c r="AT353" s="1"/>
      <c r="AU353" s="1"/>
      <c r="AV353" s="1"/>
      <c r="AW353" s="1"/>
      <c r="AX353" s="1"/>
      <c r="AY353" s="1"/>
    </row>
    <row r="354" spans="1:51" ht="15.75" customHeight="1" x14ac:dyDescent="0.2">
      <c r="A354" s="245"/>
      <c r="B354" s="244"/>
      <c r="C354" s="245"/>
      <c r="D354" s="1"/>
      <c r="E354" s="290"/>
      <c r="F354" s="1"/>
      <c r="L354" s="246"/>
      <c r="W354" s="1"/>
      <c r="Y354" s="1"/>
      <c r="AA354" s="1"/>
      <c r="AC354" s="1"/>
      <c r="AE354" s="1"/>
      <c r="AG354" s="1"/>
      <c r="AI354" s="1"/>
      <c r="AK354" s="1"/>
      <c r="AO354" s="1"/>
      <c r="AP354" s="1"/>
      <c r="AQ354" s="1"/>
      <c r="AR354" s="1"/>
      <c r="AT354" s="1"/>
      <c r="AU354" s="1"/>
      <c r="AV354" s="1"/>
      <c r="AW354" s="1"/>
      <c r="AX354" s="1"/>
      <c r="AY354" s="1"/>
    </row>
    <row r="355" spans="1:51" ht="15.75" customHeight="1" x14ac:dyDescent="0.2">
      <c r="A355" s="245"/>
      <c r="B355" s="244"/>
      <c r="C355" s="245"/>
      <c r="D355" s="1"/>
      <c r="E355" s="290"/>
      <c r="F355" s="1"/>
      <c r="L355" s="246"/>
      <c r="W355" s="1"/>
      <c r="Y355" s="1"/>
      <c r="AA355" s="1"/>
      <c r="AC355" s="1"/>
      <c r="AE355" s="1"/>
      <c r="AG355" s="1"/>
      <c r="AI355" s="1"/>
      <c r="AK355" s="1"/>
      <c r="AO355" s="1"/>
      <c r="AP355" s="1"/>
      <c r="AQ355" s="1"/>
      <c r="AR355" s="1"/>
      <c r="AT355" s="1"/>
      <c r="AU355" s="1"/>
      <c r="AV355" s="1"/>
      <c r="AW355" s="1"/>
      <c r="AX355" s="1"/>
      <c r="AY355" s="1"/>
    </row>
    <row r="356" spans="1:51" ht="15.75" customHeight="1" x14ac:dyDescent="0.2">
      <c r="A356" s="245"/>
      <c r="B356" s="244"/>
      <c r="C356" s="245"/>
      <c r="D356" s="1"/>
      <c r="E356" s="290"/>
      <c r="F356" s="1"/>
      <c r="L356" s="246"/>
      <c r="W356" s="1"/>
      <c r="Y356" s="1"/>
      <c r="AA356" s="1"/>
      <c r="AC356" s="1"/>
      <c r="AE356" s="1"/>
      <c r="AG356" s="1"/>
      <c r="AI356" s="1"/>
      <c r="AK356" s="1"/>
      <c r="AO356" s="1"/>
      <c r="AP356" s="1"/>
      <c r="AQ356" s="1"/>
      <c r="AR356" s="1"/>
      <c r="AT356" s="1"/>
      <c r="AU356" s="1"/>
      <c r="AV356" s="1"/>
      <c r="AW356" s="1"/>
      <c r="AX356" s="1"/>
      <c r="AY356" s="1"/>
    </row>
    <row r="357" spans="1:51" ht="15.75" customHeight="1" x14ac:dyDescent="0.2">
      <c r="A357" s="245"/>
      <c r="B357" s="244"/>
      <c r="C357" s="245"/>
      <c r="D357" s="1"/>
      <c r="E357" s="290"/>
      <c r="F357" s="1"/>
      <c r="L357" s="246"/>
      <c r="W357" s="1"/>
      <c r="Y357" s="1"/>
      <c r="AA357" s="1"/>
      <c r="AC357" s="1"/>
      <c r="AE357" s="1"/>
      <c r="AG357" s="1"/>
      <c r="AI357" s="1"/>
      <c r="AK357" s="1"/>
      <c r="AO357" s="1"/>
      <c r="AP357" s="1"/>
      <c r="AQ357" s="1"/>
      <c r="AR357" s="1"/>
      <c r="AT357" s="1"/>
      <c r="AU357" s="1"/>
      <c r="AV357" s="1"/>
      <c r="AW357" s="1"/>
      <c r="AX357" s="1"/>
      <c r="AY357" s="1"/>
    </row>
    <row r="358" spans="1:51" ht="15.75" customHeight="1" x14ac:dyDescent="0.2">
      <c r="A358" s="245"/>
      <c r="B358" s="244"/>
      <c r="C358" s="245"/>
      <c r="D358" s="1"/>
      <c r="E358" s="290"/>
      <c r="F358" s="1"/>
      <c r="L358" s="246"/>
      <c r="W358" s="1"/>
      <c r="Y358" s="1"/>
      <c r="AA358" s="1"/>
      <c r="AC358" s="1"/>
      <c r="AE358" s="1"/>
      <c r="AG358" s="1"/>
      <c r="AI358" s="1"/>
      <c r="AK358" s="1"/>
      <c r="AO358" s="1"/>
      <c r="AP358" s="1"/>
      <c r="AQ358" s="1"/>
      <c r="AR358" s="1"/>
      <c r="AT358" s="1"/>
      <c r="AU358" s="1"/>
      <c r="AV358" s="1"/>
      <c r="AW358" s="1"/>
      <c r="AX358" s="1"/>
      <c r="AY358" s="1"/>
    </row>
    <row r="359" spans="1:51" ht="15.75" customHeight="1" x14ac:dyDescent="0.2">
      <c r="A359" s="245"/>
      <c r="B359" s="244"/>
      <c r="C359" s="245"/>
      <c r="D359" s="1"/>
      <c r="E359" s="290"/>
      <c r="F359" s="1"/>
      <c r="L359" s="246"/>
      <c r="W359" s="1"/>
      <c r="Y359" s="1"/>
      <c r="AA359" s="1"/>
      <c r="AC359" s="1"/>
      <c r="AE359" s="1"/>
      <c r="AG359" s="1"/>
      <c r="AI359" s="1"/>
      <c r="AK359" s="1"/>
      <c r="AO359" s="1"/>
      <c r="AP359" s="1"/>
      <c r="AQ359" s="1"/>
      <c r="AR359" s="1"/>
      <c r="AT359" s="1"/>
      <c r="AU359" s="1"/>
      <c r="AV359" s="1"/>
      <c r="AW359" s="1"/>
      <c r="AX359" s="1"/>
      <c r="AY359" s="1"/>
    </row>
    <row r="360" spans="1:51" ht="15.75" customHeight="1" x14ac:dyDescent="0.2">
      <c r="A360" s="245"/>
      <c r="B360" s="244"/>
      <c r="C360" s="245"/>
      <c r="D360" s="1"/>
      <c r="E360" s="290"/>
      <c r="F360" s="1"/>
      <c r="L360" s="246"/>
      <c r="W360" s="1"/>
      <c r="Y360" s="1"/>
      <c r="AA360" s="1"/>
      <c r="AC360" s="1"/>
      <c r="AE360" s="1"/>
      <c r="AG360" s="1"/>
      <c r="AI360" s="1"/>
      <c r="AK360" s="1"/>
      <c r="AO360" s="1"/>
      <c r="AP360" s="1"/>
      <c r="AQ360" s="1"/>
      <c r="AR360" s="1"/>
      <c r="AT360" s="1"/>
      <c r="AU360" s="1"/>
      <c r="AV360" s="1"/>
      <c r="AW360" s="1"/>
      <c r="AX360" s="1"/>
      <c r="AY360" s="1"/>
    </row>
    <row r="361" spans="1:51" ht="15.75" customHeight="1" x14ac:dyDescent="0.2">
      <c r="A361" s="245"/>
      <c r="B361" s="244"/>
      <c r="C361" s="245"/>
      <c r="D361" s="1"/>
      <c r="E361" s="290"/>
      <c r="F361" s="1"/>
      <c r="L361" s="246"/>
      <c r="W361" s="1"/>
      <c r="Y361" s="1"/>
      <c r="AA361" s="1"/>
      <c r="AC361" s="1"/>
      <c r="AE361" s="1"/>
      <c r="AG361" s="1"/>
      <c r="AI361" s="1"/>
      <c r="AK361" s="1"/>
      <c r="AO361" s="1"/>
      <c r="AP361" s="1"/>
      <c r="AQ361" s="1"/>
      <c r="AR361" s="1"/>
      <c r="AT361" s="1"/>
      <c r="AU361" s="1"/>
      <c r="AV361" s="1"/>
      <c r="AW361" s="1"/>
      <c r="AX361" s="1"/>
      <c r="AY361" s="1"/>
    </row>
    <row r="362" spans="1:51" ht="15.75" customHeight="1" x14ac:dyDescent="0.2">
      <c r="A362" s="245"/>
      <c r="B362" s="244"/>
      <c r="C362" s="245"/>
      <c r="D362" s="1"/>
      <c r="E362" s="290"/>
      <c r="F362" s="1"/>
      <c r="L362" s="246"/>
      <c r="W362" s="1"/>
      <c r="Y362" s="1"/>
      <c r="AA362" s="1"/>
      <c r="AC362" s="1"/>
      <c r="AE362" s="1"/>
      <c r="AG362" s="1"/>
      <c r="AI362" s="1"/>
      <c r="AK362" s="1"/>
      <c r="AO362" s="1"/>
      <c r="AP362" s="1"/>
      <c r="AQ362" s="1"/>
      <c r="AR362" s="1"/>
      <c r="AT362" s="1"/>
      <c r="AU362" s="1"/>
      <c r="AV362" s="1"/>
      <c r="AW362" s="1"/>
      <c r="AX362" s="1"/>
      <c r="AY362" s="1"/>
    </row>
    <row r="363" spans="1:51" ht="15.75" customHeight="1" x14ac:dyDescent="0.2">
      <c r="A363" s="245"/>
      <c r="B363" s="244"/>
      <c r="C363" s="245"/>
      <c r="D363" s="1"/>
      <c r="E363" s="290"/>
      <c r="F363" s="1"/>
      <c r="L363" s="246"/>
      <c r="W363" s="1"/>
      <c r="Y363" s="1"/>
      <c r="AA363" s="1"/>
      <c r="AC363" s="1"/>
      <c r="AE363" s="1"/>
      <c r="AG363" s="1"/>
      <c r="AI363" s="1"/>
      <c r="AK363" s="1"/>
      <c r="AO363" s="1"/>
      <c r="AP363" s="1"/>
      <c r="AQ363" s="1"/>
      <c r="AR363" s="1"/>
      <c r="AT363" s="1"/>
      <c r="AU363" s="1"/>
      <c r="AV363" s="1"/>
      <c r="AW363" s="1"/>
      <c r="AX363" s="1"/>
      <c r="AY363" s="1"/>
    </row>
    <row r="364" spans="1:51" ht="15.75" customHeight="1" x14ac:dyDescent="0.2">
      <c r="A364" s="245"/>
      <c r="B364" s="244"/>
      <c r="C364" s="245"/>
      <c r="D364" s="1"/>
      <c r="E364" s="290"/>
      <c r="F364" s="1"/>
      <c r="L364" s="246"/>
      <c r="W364" s="1"/>
      <c r="Y364" s="1"/>
      <c r="AA364" s="1"/>
      <c r="AC364" s="1"/>
      <c r="AE364" s="1"/>
      <c r="AG364" s="1"/>
      <c r="AI364" s="1"/>
      <c r="AK364" s="1"/>
      <c r="AO364" s="1"/>
      <c r="AP364" s="1"/>
      <c r="AQ364" s="1"/>
      <c r="AR364" s="1"/>
      <c r="AT364" s="1"/>
      <c r="AU364" s="1"/>
      <c r="AV364" s="1"/>
      <c r="AW364" s="1"/>
      <c r="AX364" s="1"/>
      <c r="AY364" s="1"/>
    </row>
    <row r="365" spans="1:51" ht="15.75" customHeight="1" x14ac:dyDescent="0.2">
      <c r="A365" s="245"/>
      <c r="B365" s="244"/>
      <c r="C365" s="245"/>
      <c r="D365" s="1"/>
      <c r="E365" s="290"/>
      <c r="F365" s="1"/>
      <c r="L365" s="246"/>
      <c r="W365" s="1"/>
      <c r="Y365" s="1"/>
      <c r="AA365" s="1"/>
      <c r="AC365" s="1"/>
      <c r="AE365" s="1"/>
      <c r="AG365" s="1"/>
      <c r="AI365" s="1"/>
      <c r="AK365" s="1"/>
      <c r="AO365" s="1"/>
      <c r="AP365" s="1"/>
      <c r="AQ365" s="1"/>
      <c r="AR365" s="1"/>
      <c r="AT365" s="1"/>
      <c r="AU365" s="1"/>
      <c r="AV365" s="1"/>
      <c r="AW365" s="1"/>
      <c r="AX365" s="1"/>
      <c r="AY365" s="1"/>
    </row>
    <row r="366" spans="1:51" ht="15.75" customHeight="1" x14ac:dyDescent="0.2">
      <c r="A366" s="245"/>
      <c r="B366" s="244"/>
      <c r="C366" s="245"/>
      <c r="D366" s="1"/>
      <c r="E366" s="290"/>
      <c r="F366" s="1"/>
      <c r="L366" s="246"/>
      <c r="W366" s="1"/>
      <c r="Y366" s="1"/>
      <c r="AA366" s="1"/>
      <c r="AC366" s="1"/>
      <c r="AE366" s="1"/>
      <c r="AG366" s="1"/>
      <c r="AI366" s="1"/>
      <c r="AK366" s="1"/>
      <c r="AO366" s="1"/>
      <c r="AP366" s="1"/>
      <c r="AQ366" s="1"/>
      <c r="AR366" s="1"/>
      <c r="AT366" s="1"/>
      <c r="AU366" s="1"/>
      <c r="AV366" s="1"/>
      <c r="AW366" s="1"/>
      <c r="AX366" s="1"/>
      <c r="AY366" s="1"/>
    </row>
    <row r="367" spans="1:51" ht="15.75" customHeight="1" x14ac:dyDescent="0.2">
      <c r="A367" s="245"/>
      <c r="B367" s="244"/>
      <c r="C367" s="245"/>
      <c r="D367" s="1"/>
      <c r="E367" s="290"/>
      <c r="F367" s="1"/>
      <c r="L367" s="246"/>
      <c r="W367" s="1"/>
      <c r="Y367" s="1"/>
      <c r="AA367" s="1"/>
      <c r="AC367" s="1"/>
      <c r="AE367" s="1"/>
      <c r="AG367" s="1"/>
      <c r="AI367" s="1"/>
      <c r="AK367" s="1"/>
      <c r="AO367" s="1"/>
      <c r="AP367" s="1"/>
      <c r="AQ367" s="1"/>
      <c r="AR367" s="1"/>
      <c r="AT367" s="1"/>
      <c r="AU367" s="1"/>
      <c r="AV367" s="1"/>
      <c r="AW367" s="1"/>
      <c r="AX367" s="1"/>
      <c r="AY367" s="1"/>
    </row>
    <row r="368" spans="1:51" ht="15.75" customHeight="1" x14ac:dyDescent="0.2">
      <c r="A368" s="245"/>
      <c r="B368" s="244"/>
      <c r="C368" s="245"/>
      <c r="D368" s="1"/>
      <c r="E368" s="290"/>
      <c r="F368" s="1"/>
      <c r="L368" s="246"/>
      <c r="W368" s="1"/>
      <c r="Y368" s="1"/>
      <c r="AA368" s="1"/>
      <c r="AC368" s="1"/>
      <c r="AE368" s="1"/>
      <c r="AG368" s="1"/>
      <c r="AI368" s="1"/>
      <c r="AK368" s="1"/>
      <c r="AO368" s="1"/>
      <c r="AP368" s="1"/>
      <c r="AQ368" s="1"/>
      <c r="AR368" s="1"/>
      <c r="AT368" s="1"/>
      <c r="AU368" s="1"/>
      <c r="AV368" s="1"/>
      <c r="AW368" s="1"/>
      <c r="AX368" s="1"/>
      <c r="AY368" s="1"/>
    </row>
    <row r="369" spans="1:51" ht="15.75" customHeight="1" x14ac:dyDescent="0.2">
      <c r="A369" s="245"/>
      <c r="B369" s="244"/>
      <c r="C369" s="245"/>
      <c r="D369" s="1"/>
      <c r="E369" s="290"/>
      <c r="F369" s="1"/>
      <c r="L369" s="246"/>
      <c r="W369" s="1"/>
      <c r="Y369" s="1"/>
      <c r="AA369" s="1"/>
      <c r="AC369" s="1"/>
      <c r="AE369" s="1"/>
      <c r="AG369" s="1"/>
      <c r="AI369" s="1"/>
      <c r="AK369" s="1"/>
      <c r="AO369" s="1"/>
      <c r="AP369" s="1"/>
      <c r="AQ369" s="1"/>
      <c r="AR369" s="1"/>
      <c r="AT369" s="1"/>
      <c r="AU369" s="1"/>
      <c r="AV369" s="1"/>
      <c r="AW369" s="1"/>
      <c r="AX369" s="1"/>
      <c r="AY369" s="1"/>
    </row>
    <row r="370" spans="1:51" ht="15.75" customHeight="1" x14ac:dyDescent="0.2">
      <c r="A370" s="245"/>
      <c r="B370" s="244"/>
      <c r="C370" s="245"/>
      <c r="D370" s="1"/>
      <c r="E370" s="290"/>
      <c r="F370" s="1"/>
      <c r="L370" s="246"/>
      <c r="W370" s="1"/>
      <c r="Y370" s="1"/>
      <c r="AA370" s="1"/>
      <c r="AC370" s="1"/>
      <c r="AE370" s="1"/>
      <c r="AG370" s="1"/>
      <c r="AI370" s="1"/>
      <c r="AK370" s="1"/>
      <c r="AO370" s="1"/>
      <c r="AP370" s="1"/>
      <c r="AQ370" s="1"/>
      <c r="AR370" s="1"/>
      <c r="AT370" s="1"/>
      <c r="AU370" s="1"/>
      <c r="AV370" s="1"/>
      <c r="AW370" s="1"/>
      <c r="AX370" s="1"/>
      <c r="AY370" s="1"/>
    </row>
    <row r="371" spans="1:51" ht="15.75" customHeight="1" x14ac:dyDescent="0.2">
      <c r="A371" s="245"/>
      <c r="B371" s="244"/>
      <c r="C371" s="245"/>
      <c r="D371" s="1"/>
      <c r="E371" s="290"/>
      <c r="F371" s="1"/>
      <c r="L371" s="246"/>
      <c r="W371" s="1"/>
      <c r="Y371" s="1"/>
      <c r="AA371" s="1"/>
      <c r="AC371" s="1"/>
      <c r="AE371" s="1"/>
      <c r="AG371" s="1"/>
      <c r="AI371" s="1"/>
      <c r="AK371" s="1"/>
      <c r="AO371" s="1"/>
      <c r="AP371" s="1"/>
      <c r="AQ371" s="1"/>
      <c r="AR371" s="1"/>
      <c r="AT371" s="1"/>
      <c r="AU371" s="1"/>
      <c r="AV371" s="1"/>
      <c r="AW371" s="1"/>
      <c r="AX371" s="1"/>
      <c r="AY371" s="1"/>
    </row>
    <row r="372" spans="1:51" ht="15.75" customHeight="1" x14ac:dyDescent="0.2">
      <c r="A372" s="245"/>
      <c r="B372" s="244"/>
      <c r="C372" s="245"/>
      <c r="D372" s="1"/>
      <c r="E372" s="290"/>
      <c r="F372" s="1"/>
      <c r="L372" s="246"/>
      <c r="W372" s="1"/>
      <c r="Y372" s="1"/>
      <c r="AA372" s="1"/>
      <c r="AC372" s="1"/>
      <c r="AE372" s="1"/>
      <c r="AG372" s="1"/>
      <c r="AI372" s="1"/>
      <c r="AK372" s="1"/>
      <c r="AO372" s="1"/>
      <c r="AP372" s="1"/>
      <c r="AQ372" s="1"/>
      <c r="AR372" s="1"/>
      <c r="AT372" s="1"/>
      <c r="AU372" s="1"/>
      <c r="AV372" s="1"/>
      <c r="AW372" s="1"/>
      <c r="AX372" s="1"/>
      <c r="AY372" s="1"/>
    </row>
    <row r="373" spans="1:51" ht="15.75" customHeight="1" x14ac:dyDescent="0.2">
      <c r="A373" s="245"/>
      <c r="B373" s="244"/>
      <c r="C373" s="245"/>
      <c r="D373" s="1"/>
      <c r="E373" s="290"/>
      <c r="F373" s="1"/>
      <c r="L373" s="246"/>
      <c r="W373" s="1"/>
      <c r="Y373" s="1"/>
      <c r="AA373" s="1"/>
      <c r="AC373" s="1"/>
      <c r="AE373" s="1"/>
      <c r="AG373" s="1"/>
      <c r="AI373" s="1"/>
      <c r="AK373" s="1"/>
      <c r="AO373" s="1"/>
      <c r="AP373" s="1"/>
      <c r="AQ373" s="1"/>
      <c r="AR373" s="1"/>
      <c r="AT373" s="1"/>
      <c r="AU373" s="1"/>
      <c r="AV373" s="1"/>
      <c r="AW373" s="1"/>
      <c r="AX373" s="1"/>
      <c r="AY373" s="1"/>
    </row>
    <row r="374" spans="1:51" ht="15.75" customHeight="1" x14ac:dyDescent="0.2">
      <c r="A374" s="245"/>
      <c r="B374" s="244"/>
      <c r="C374" s="245"/>
      <c r="D374" s="1"/>
      <c r="E374" s="290"/>
      <c r="F374" s="1"/>
      <c r="L374" s="246"/>
      <c r="W374" s="1"/>
      <c r="Y374" s="1"/>
      <c r="AA374" s="1"/>
      <c r="AC374" s="1"/>
      <c r="AE374" s="1"/>
      <c r="AG374" s="1"/>
      <c r="AI374" s="1"/>
      <c r="AK374" s="1"/>
      <c r="AO374" s="1"/>
      <c r="AP374" s="1"/>
      <c r="AQ374" s="1"/>
      <c r="AR374" s="1"/>
      <c r="AT374" s="1"/>
      <c r="AU374" s="1"/>
      <c r="AV374" s="1"/>
      <c r="AW374" s="1"/>
      <c r="AX374" s="1"/>
      <c r="AY374" s="1"/>
    </row>
    <row r="375" spans="1:51" ht="15.75" customHeight="1" x14ac:dyDescent="0.2">
      <c r="A375" s="245"/>
      <c r="B375" s="244"/>
      <c r="C375" s="245"/>
      <c r="D375" s="1"/>
      <c r="E375" s="290"/>
      <c r="F375" s="1"/>
      <c r="L375" s="246"/>
      <c r="W375" s="1"/>
      <c r="Y375" s="1"/>
      <c r="AA375" s="1"/>
      <c r="AC375" s="1"/>
      <c r="AE375" s="1"/>
      <c r="AG375" s="1"/>
      <c r="AI375" s="1"/>
      <c r="AK375" s="1"/>
      <c r="AO375" s="1"/>
      <c r="AP375" s="1"/>
      <c r="AQ375" s="1"/>
      <c r="AR375" s="1"/>
      <c r="AT375" s="1"/>
      <c r="AU375" s="1"/>
      <c r="AV375" s="1"/>
      <c r="AW375" s="1"/>
      <c r="AX375" s="1"/>
      <c r="AY375" s="1"/>
    </row>
    <row r="376" spans="1:51" ht="15.75" customHeight="1" x14ac:dyDescent="0.2">
      <c r="A376" s="245"/>
      <c r="B376" s="244"/>
      <c r="C376" s="245"/>
      <c r="D376" s="1"/>
      <c r="E376" s="290"/>
      <c r="F376" s="1"/>
      <c r="L376" s="246"/>
      <c r="W376" s="1"/>
      <c r="Y376" s="1"/>
      <c r="AA376" s="1"/>
      <c r="AC376" s="1"/>
      <c r="AE376" s="1"/>
      <c r="AG376" s="1"/>
      <c r="AI376" s="1"/>
      <c r="AK376" s="1"/>
      <c r="AO376" s="1"/>
      <c r="AP376" s="1"/>
      <c r="AQ376" s="1"/>
      <c r="AR376" s="1"/>
      <c r="AT376" s="1"/>
      <c r="AU376" s="1"/>
      <c r="AV376" s="1"/>
      <c r="AW376" s="1"/>
      <c r="AX376" s="1"/>
      <c r="AY376" s="1"/>
    </row>
    <row r="377" spans="1:51" ht="15.75" customHeight="1" x14ac:dyDescent="0.2">
      <c r="A377" s="245"/>
      <c r="B377" s="244"/>
      <c r="C377" s="245"/>
      <c r="D377" s="1"/>
      <c r="E377" s="290"/>
      <c r="F377" s="1"/>
      <c r="L377" s="246"/>
      <c r="W377" s="1"/>
      <c r="Y377" s="1"/>
      <c r="AA377" s="1"/>
      <c r="AC377" s="1"/>
      <c r="AE377" s="1"/>
      <c r="AG377" s="1"/>
      <c r="AI377" s="1"/>
      <c r="AK377" s="1"/>
      <c r="AO377" s="1"/>
      <c r="AP377" s="1"/>
      <c r="AQ377" s="1"/>
      <c r="AR377" s="1"/>
      <c r="AT377" s="1"/>
      <c r="AU377" s="1"/>
      <c r="AV377" s="1"/>
      <c r="AW377" s="1"/>
      <c r="AX377" s="1"/>
      <c r="AY377" s="1"/>
    </row>
    <row r="378" spans="1:51" ht="15.75" customHeight="1" x14ac:dyDescent="0.2">
      <c r="A378" s="245"/>
      <c r="B378" s="244"/>
      <c r="C378" s="245"/>
      <c r="D378" s="1"/>
      <c r="E378" s="290"/>
      <c r="F378" s="1"/>
      <c r="L378" s="246"/>
      <c r="W378" s="1"/>
      <c r="Y378" s="1"/>
      <c r="AA378" s="1"/>
      <c r="AC378" s="1"/>
      <c r="AE378" s="1"/>
      <c r="AG378" s="1"/>
      <c r="AI378" s="1"/>
      <c r="AK378" s="1"/>
      <c r="AO378" s="1"/>
      <c r="AP378" s="1"/>
      <c r="AQ378" s="1"/>
      <c r="AR378" s="1"/>
      <c r="AT378" s="1"/>
      <c r="AU378" s="1"/>
      <c r="AV378" s="1"/>
      <c r="AW378" s="1"/>
      <c r="AX378" s="1"/>
      <c r="AY378" s="1"/>
    </row>
    <row r="379" spans="1:51" ht="15.75" customHeight="1" x14ac:dyDescent="0.2">
      <c r="A379" s="245"/>
      <c r="B379" s="244"/>
      <c r="C379" s="245"/>
      <c r="D379" s="1"/>
      <c r="E379" s="290"/>
      <c r="F379" s="1"/>
      <c r="L379" s="246"/>
      <c r="W379" s="1"/>
      <c r="Y379" s="1"/>
      <c r="AA379" s="1"/>
      <c r="AC379" s="1"/>
      <c r="AE379" s="1"/>
      <c r="AG379" s="1"/>
      <c r="AI379" s="1"/>
      <c r="AK379" s="1"/>
      <c r="AO379" s="1"/>
      <c r="AP379" s="1"/>
      <c r="AQ379" s="1"/>
      <c r="AR379" s="1"/>
      <c r="AT379" s="1"/>
      <c r="AU379" s="1"/>
      <c r="AV379" s="1"/>
      <c r="AW379" s="1"/>
      <c r="AX379" s="1"/>
      <c r="AY379" s="1"/>
    </row>
    <row r="380" spans="1:51" ht="15.75" customHeight="1" x14ac:dyDescent="0.2">
      <c r="A380" s="245"/>
      <c r="B380" s="244"/>
      <c r="C380" s="245"/>
      <c r="D380" s="1"/>
      <c r="E380" s="290"/>
      <c r="F380" s="1"/>
      <c r="L380" s="246"/>
      <c r="W380" s="1"/>
      <c r="Y380" s="1"/>
      <c r="AA380" s="1"/>
      <c r="AC380" s="1"/>
      <c r="AE380" s="1"/>
      <c r="AG380" s="1"/>
      <c r="AI380" s="1"/>
      <c r="AK380" s="1"/>
      <c r="AO380" s="1"/>
      <c r="AP380" s="1"/>
      <c r="AQ380" s="1"/>
      <c r="AR380" s="1"/>
      <c r="AT380" s="1"/>
      <c r="AU380" s="1"/>
      <c r="AV380" s="1"/>
      <c r="AW380" s="1"/>
      <c r="AX380" s="1"/>
      <c r="AY380" s="1"/>
    </row>
    <row r="381" spans="1:51" ht="15.75" customHeight="1" x14ac:dyDescent="0.2">
      <c r="A381" s="245"/>
      <c r="B381" s="244"/>
      <c r="C381" s="245"/>
      <c r="D381" s="1"/>
      <c r="E381" s="290"/>
      <c r="F381" s="1"/>
      <c r="L381" s="246"/>
      <c r="W381" s="1"/>
      <c r="Y381" s="1"/>
      <c r="AA381" s="1"/>
      <c r="AC381" s="1"/>
      <c r="AE381" s="1"/>
      <c r="AG381" s="1"/>
      <c r="AI381" s="1"/>
      <c r="AK381" s="1"/>
      <c r="AO381" s="1"/>
      <c r="AP381" s="1"/>
      <c r="AQ381" s="1"/>
      <c r="AR381" s="1"/>
      <c r="AT381" s="1"/>
      <c r="AU381" s="1"/>
      <c r="AV381" s="1"/>
      <c r="AW381" s="1"/>
      <c r="AX381" s="1"/>
      <c r="AY381" s="1"/>
    </row>
    <row r="382" spans="1:51" ht="15.75" customHeight="1" x14ac:dyDescent="0.2">
      <c r="A382" s="245"/>
      <c r="B382" s="244"/>
      <c r="C382" s="245"/>
      <c r="D382" s="1"/>
      <c r="E382" s="290"/>
      <c r="F382" s="1"/>
      <c r="L382" s="246"/>
      <c r="W382" s="1"/>
      <c r="Y382" s="1"/>
      <c r="AA382" s="1"/>
      <c r="AC382" s="1"/>
      <c r="AE382" s="1"/>
      <c r="AG382" s="1"/>
      <c r="AI382" s="1"/>
      <c r="AK382" s="1"/>
      <c r="AO382" s="1"/>
      <c r="AP382" s="1"/>
      <c r="AQ382" s="1"/>
      <c r="AR382" s="1"/>
      <c r="AT382" s="1"/>
      <c r="AU382" s="1"/>
      <c r="AV382" s="1"/>
      <c r="AW382" s="1"/>
      <c r="AX382" s="1"/>
      <c r="AY382" s="1"/>
    </row>
    <row r="383" spans="1:51" ht="15.75" customHeight="1" x14ac:dyDescent="0.2">
      <c r="A383" s="245"/>
      <c r="B383" s="244"/>
      <c r="C383" s="245"/>
      <c r="D383" s="1"/>
      <c r="E383" s="290"/>
      <c r="F383" s="1"/>
      <c r="L383" s="246"/>
      <c r="W383" s="1"/>
      <c r="Y383" s="1"/>
      <c r="AA383" s="1"/>
      <c r="AC383" s="1"/>
      <c r="AE383" s="1"/>
      <c r="AG383" s="1"/>
      <c r="AI383" s="1"/>
      <c r="AK383" s="1"/>
      <c r="AO383" s="1"/>
      <c r="AP383" s="1"/>
      <c r="AQ383" s="1"/>
      <c r="AR383" s="1"/>
      <c r="AT383" s="1"/>
      <c r="AU383" s="1"/>
      <c r="AV383" s="1"/>
      <c r="AW383" s="1"/>
      <c r="AX383" s="1"/>
      <c r="AY383" s="1"/>
    </row>
    <row r="384" spans="1:51" ht="15.75" customHeight="1" x14ac:dyDescent="0.2">
      <c r="A384" s="245"/>
      <c r="B384" s="244"/>
      <c r="C384" s="245"/>
      <c r="D384" s="1"/>
      <c r="E384" s="290"/>
      <c r="F384" s="1"/>
      <c r="L384" s="246"/>
      <c r="W384" s="1"/>
      <c r="Y384" s="1"/>
      <c r="AA384" s="1"/>
      <c r="AC384" s="1"/>
      <c r="AE384" s="1"/>
      <c r="AG384" s="1"/>
      <c r="AI384" s="1"/>
      <c r="AK384" s="1"/>
      <c r="AO384" s="1"/>
      <c r="AP384" s="1"/>
      <c r="AQ384" s="1"/>
      <c r="AR384" s="1"/>
      <c r="AT384" s="1"/>
      <c r="AU384" s="1"/>
      <c r="AV384" s="1"/>
      <c r="AW384" s="1"/>
      <c r="AX384" s="1"/>
      <c r="AY384" s="1"/>
    </row>
    <row r="385" spans="1:51" ht="15.75" customHeight="1" x14ac:dyDescent="0.2">
      <c r="A385" s="245"/>
      <c r="B385" s="244"/>
      <c r="C385" s="245"/>
      <c r="D385" s="1"/>
      <c r="E385" s="290"/>
      <c r="F385" s="1"/>
      <c r="L385" s="246"/>
      <c r="W385" s="1"/>
      <c r="Y385" s="1"/>
      <c r="AA385" s="1"/>
      <c r="AC385" s="1"/>
      <c r="AE385" s="1"/>
      <c r="AG385" s="1"/>
      <c r="AI385" s="1"/>
      <c r="AK385" s="1"/>
      <c r="AO385" s="1"/>
      <c r="AP385" s="1"/>
      <c r="AQ385" s="1"/>
      <c r="AR385" s="1"/>
      <c r="AT385" s="1"/>
      <c r="AU385" s="1"/>
      <c r="AV385" s="1"/>
      <c r="AW385" s="1"/>
      <c r="AX385" s="1"/>
      <c r="AY385" s="1"/>
    </row>
    <row r="386" spans="1:51" ht="15.75" customHeight="1" x14ac:dyDescent="0.2">
      <c r="A386" s="245"/>
      <c r="B386" s="244"/>
      <c r="C386" s="245"/>
      <c r="D386" s="1"/>
      <c r="E386" s="290"/>
      <c r="F386" s="1"/>
      <c r="L386" s="246"/>
      <c r="W386" s="1"/>
      <c r="Y386" s="1"/>
      <c r="AA386" s="1"/>
      <c r="AC386" s="1"/>
      <c r="AE386" s="1"/>
      <c r="AG386" s="1"/>
      <c r="AI386" s="1"/>
      <c r="AK386" s="1"/>
      <c r="AO386" s="1"/>
      <c r="AP386" s="1"/>
      <c r="AQ386" s="1"/>
      <c r="AR386" s="1"/>
      <c r="AT386" s="1"/>
      <c r="AU386" s="1"/>
      <c r="AV386" s="1"/>
      <c r="AW386" s="1"/>
      <c r="AX386" s="1"/>
      <c r="AY386" s="1"/>
    </row>
    <row r="387" spans="1:51" ht="15.75" customHeight="1" x14ac:dyDescent="0.2">
      <c r="A387" s="245"/>
      <c r="B387" s="244"/>
      <c r="C387" s="245"/>
      <c r="D387" s="1"/>
      <c r="E387" s="290"/>
      <c r="F387" s="1"/>
      <c r="L387" s="246"/>
      <c r="W387" s="1"/>
      <c r="Y387" s="1"/>
      <c r="AA387" s="1"/>
      <c r="AC387" s="1"/>
      <c r="AE387" s="1"/>
      <c r="AG387" s="1"/>
      <c r="AI387" s="1"/>
      <c r="AK387" s="1"/>
      <c r="AO387" s="1"/>
      <c r="AP387" s="1"/>
      <c r="AQ387" s="1"/>
      <c r="AR387" s="1"/>
      <c r="AT387" s="1"/>
      <c r="AU387" s="1"/>
      <c r="AV387" s="1"/>
      <c r="AW387" s="1"/>
      <c r="AX387" s="1"/>
      <c r="AY387" s="1"/>
    </row>
    <row r="388" spans="1:51" ht="15.75" customHeight="1" x14ac:dyDescent="0.2">
      <c r="A388" s="245"/>
      <c r="B388" s="244"/>
      <c r="C388" s="245"/>
      <c r="D388" s="1"/>
      <c r="E388" s="290"/>
      <c r="F388" s="1"/>
      <c r="L388" s="246"/>
      <c r="W388" s="1"/>
      <c r="Y388" s="1"/>
      <c r="AA388" s="1"/>
      <c r="AC388" s="1"/>
      <c r="AE388" s="1"/>
      <c r="AG388" s="1"/>
      <c r="AI388" s="1"/>
      <c r="AK388" s="1"/>
      <c r="AO388" s="1"/>
      <c r="AP388" s="1"/>
      <c r="AQ388" s="1"/>
      <c r="AR388" s="1"/>
      <c r="AT388" s="1"/>
      <c r="AU388" s="1"/>
      <c r="AV388" s="1"/>
      <c r="AW388" s="1"/>
      <c r="AX388" s="1"/>
      <c r="AY388" s="1"/>
    </row>
    <row r="389" spans="1:51" ht="15.75" customHeight="1" x14ac:dyDescent="0.2">
      <c r="A389" s="245"/>
      <c r="B389" s="244"/>
      <c r="C389" s="245"/>
      <c r="D389" s="1"/>
      <c r="E389" s="290"/>
      <c r="F389" s="1"/>
      <c r="L389" s="246"/>
      <c r="W389" s="1"/>
      <c r="Y389" s="1"/>
      <c r="AA389" s="1"/>
      <c r="AC389" s="1"/>
      <c r="AE389" s="1"/>
      <c r="AG389" s="1"/>
      <c r="AI389" s="1"/>
      <c r="AK389" s="1"/>
      <c r="AO389" s="1"/>
      <c r="AP389" s="1"/>
      <c r="AQ389" s="1"/>
      <c r="AR389" s="1"/>
      <c r="AT389" s="1"/>
      <c r="AU389" s="1"/>
      <c r="AV389" s="1"/>
      <c r="AW389" s="1"/>
      <c r="AX389" s="1"/>
      <c r="AY389" s="1"/>
    </row>
    <row r="390" spans="1:51" ht="15.75" customHeight="1" x14ac:dyDescent="0.2">
      <c r="A390" s="245"/>
      <c r="B390" s="244"/>
      <c r="C390" s="245"/>
      <c r="D390" s="1"/>
      <c r="E390" s="290"/>
      <c r="F390" s="1"/>
      <c r="L390" s="246"/>
      <c r="W390" s="1"/>
      <c r="Y390" s="1"/>
      <c r="AA390" s="1"/>
      <c r="AC390" s="1"/>
      <c r="AE390" s="1"/>
      <c r="AG390" s="1"/>
      <c r="AI390" s="1"/>
      <c r="AK390" s="1"/>
      <c r="AO390" s="1"/>
      <c r="AP390" s="1"/>
      <c r="AQ390" s="1"/>
      <c r="AR390" s="1"/>
      <c r="AT390" s="1"/>
      <c r="AU390" s="1"/>
      <c r="AV390" s="1"/>
      <c r="AW390" s="1"/>
      <c r="AX390" s="1"/>
      <c r="AY390" s="1"/>
    </row>
    <row r="391" spans="1:51" ht="15.75" customHeight="1" x14ac:dyDescent="0.2">
      <c r="A391" s="245"/>
      <c r="B391" s="244"/>
      <c r="C391" s="245"/>
      <c r="D391" s="1"/>
      <c r="E391" s="290"/>
      <c r="F391" s="1"/>
      <c r="L391" s="246"/>
      <c r="W391" s="1"/>
      <c r="Y391" s="1"/>
      <c r="AA391" s="1"/>
      <c r="AC391" s="1"/>
      <c r="AE391" s="1"/>
      <c r="AG391" s="1"/>
      <c r="AI391" s="1"/>
      <c r="AK391" s="1"/>
      <c r="AO391" s="1"/>
      <c r="AP391" s="1"/>
      <c r="AQ391" s="1"/>
      <c r="AR391" s="1"/>
      <c r="AT391" s="1"/>
      <c r="AU391" s="1"/>
      <c r="AV391" s="1"/>
      <c r="AW391" s="1"/>
      <c r="AX391" s="1"/>
      <c r="AY391" s="1"/>
    </row>
    <row r="392" spans="1:51" ht="15.75" customHeight="1" x14ac:dyDescent="0.2">
      <c r="A392" s="245"/>
      <c r="B392" s="244"/>
      <c r="C392" s="245"/>
      <c r="D392" s="1"/>
      <c r="E392" s="290"/>
      <c r="F392" s="1"/>
      <c r="L392" s="246"/>
      <c r="W392" s="1"/>
      <c r="Y392" s="1"/>
      <c r="AA392" s="1"/>
      <c r="AC392" s="1"/>
      <c r="AE392" s="1"/>
      <c r="AG392" s="1"/>
      <c r="AI392" s="1"/>
      <c r="AK392" s="1"/>
      <c r="AO392" s="1"/>
      <c r="AP392" s="1"/>
      <c r="AQ392" s="1"/>
      <c r="AR392" s="1"/>
      <c r="AT392" s="1"/>
      <c r="AU392" s="1"/>
      <c r="AV392" s="1"/>
      <c r="AW392" s="1"/>
      <c r="AX392" s="1"/>
      <c r="AY392" s="1"/>
    </row>
    <row r="393" spans="1:51" ht="15.75" customHeight="1" x14ac:dyDescent="0.2">
      <c r="A393" s="245"/>
      <c r="B393" s="244"/>
      <c r="C393" s="245"/>
      <c r="D393" s="1"/>
      <c r="E393" s="290"/>
      <c r="F393" s="1"/>
      <c r="L393" s="246"/>
      <c r="W393" s="1"/>
      <c r="Y393" s="1"/>
      <c r="AA393" s="1"/>
      <c r="AC393" s="1"/>
      <c r="AE393" s="1"/>
      <c r="AG393" s="1"/>
      <c r="AI393" s="1"/>
      <c r="AK393" s="1"/>
      <c r="AO393" s="1"/>
      <c r="AP393" s="1"/>
      <c r="AQ393" s="1"/>
      <c r="AR393" s="1"/>
      <c r="AT393" s="1"/>
      <c r="AU393" s="1"/>
      <c r="AV393" s="1"/>
      <c r="AW393" s="1"/>
      <c r="AX393" s="1"/>
      <c r="AY393" s="1"/>
    </row>
    <row r="394" spans="1:51" ht="15.75" customHeight="1" x14ac:dyDescent="0.2">
      <c r="A394" s="245"/>
      <c r="B394" s="244"/>
      <c r="C394" s="245"/>
      <c r="D394" s="1"/>
      <c r="E394" s="290"/>
      <c r="F394" s="1"/>
      <c r="L394" s="246"/>
      <c r="W394" s="1"/>
      <c r="Y394" s="1"/>
      <c r="AA394" s="1"/>
      <c r="AC394" s="1"/>
      <c r="AE394" s="1"/>
      <c r="AG394" s="1"/>
      <c r="AI394" s="1"/>
      <c r="AK394" s="1"/>
      <c r="AO394" s="1"/>
      <c r="AP394" s="1"/>
      <c r="AQ394" s="1"/>
      <c r="AR394" s="1"/>
      <c r="AT394" s="1"/>
      <c r="AU394" s="1"/>
      <c r="AV394" s="1"/>
      <c r="AW394" s="1"/>
      <c r="AX394" s="1"/>
      <c r="AY394" s="1"/>
    </row>
    <row r="395" spans="1:51" ht="15.75" customHeight="1" x14ac:dyDescent="0.2">
      <c r="A395" s="245"/>
      <c r="B395" s="244"/>
      <c r="C395" s="245"/>
      <c r="D395" s="1"/>
      <c r="E395" s="290"/>
      <c r="F395" s="1"/>
      <c r="L395" s="246"/>
      <c r="W395" s="1"/>
      <c r="Y395" s="1"/>
      <c r="AA395" s="1"/>
      <c r="AC395" s="1"/>
      <c r="AE395" s="1"/>
      <c r="AG395" s="1"/>
      <c r="AI395" s="1"/>
      <c r="AK395" s="1"/>
      <c r="AO395" s="1"/>
      <c r="AP395" s="1"/>
      <c r="AQ395" s="1"/>
      <c r="AR395" s="1"/>
      <c r="AT395" s="1"/>
      <c r="AU395" s="1"/>
      <c r="AV395" s="1"/>
      <c r="AW395" s="1"/>
      <c r="AX395" s="1"/>
      <c r="AY395" s="1"/>
    </row>
    <row r="396" spans="1:51" ht="15.75" customHeight="1" x14ac:dyDescent="0.2">
      <c r="A396" s="245"/>
      <c r="B396" s="244"/>
      <c r="C396" s="245"/>
      <c r="D396" s="1"/>
      <c r="E396" s="290"/>
      <c r="F396" s="1"/>
      <c r="L396" s="246"/>
      <c r="W396" s="1"/>
      <c r="Y396" s="1"/>
      <c r="AA396" s="1"/>
      <c r="AC396" s="1"/>
      <c r="AE396" s="1"/>
      <c r="AG396" s="1"/>
      <c r="AI396" s="1"/>
      <c r="AK396" s="1"/>
      <c r="AO396" s="1"/>
      <c r="AP396" s="1"/>
      <c r="AQ396" s="1"/>
      <c r="AR396" s="1"/>
      <c r="AT396" s="1"/>
      <c r="AU396" s="1"/>
      <c r="AV396" s="1"/>
      <c r="AW396" s="1"/>
      <c r="AX396" s="1"/>
      <c r="AY396" s="1"/>
    </row>
    <row r="397" spans="1:51" ht="15.75" customHeight="1" x14ac:dyDescent="0.2">
      <c r="A397" s="245"/>
      <c r="B397" s="244"/>
      <c r="C397" s="245"/>
      <c r="D397" s="1"/>
      <c r="E397" s="290"/>
      <c r="F397" s="1"/>
      <c r="L397" s="246"/>
      <c r="W397" s="1"/>
      <c r="Y397" s="1"/>
      <c r="AA397" s="1"/>
      <c r="AC397" s="1"/>
      <c r="AE397" s="1"/>
      <c r="AG397" s="1"/>
      <c r="AI397" s="1"/>
      <c r="AK397" s="1"/>
      <c r="AO397" s="1"/>
      <c r="AP397" s="1"/>
      <c r="AQ397" s="1"/>
      <c r="AR397" s="1"/>
      <c r="AT397" s="1"/>
      <c r="AU397" s="1"/>
      <c r="AV397" s="1"/>
      <c r="AW397" s="1"/>
      <c r="AX397" s="1"/>
      <c r="AY397" s="1"/>
    </row>
    <row r="398" spans="1:51" ht="15.75" customHeight="1" x14ac:dyDescent="0.2">
      <c r="A398" s="245"/>
      <c r="B398" s="244"/>
      <c r="C398" s="245"/>
      <c r="D398" s="1"/>
      <c r="E398" s="290"/>
      <c r="F398" s="1"/>
      <c r="L398" s="246"/>
      <c r="W398" s="1"/>
      <c r="Y398" s="1"/>
      <c r="AA398" s="1"/>
      <c r="AC398" s="1"/>
      <c r="AE398" s="1"/>
      <c r="AG398" s="1"/>
      <c r="AI398" s="1"/>
      <c r="AK398" s="1"/>
      <c r="AO398" s="1"/>
      <c r="AP398" s="1"/>
      <c r="AQ398" s="1"/>
      <c r="AR398" s="1"/>
      <c r="AT398" s="1"/>
      <c r="AU398" s="1"/>
      <c r="AV398" s="1"/>
      <c r="AW398" s="1"/>
      <c r="AX398" s="1"/>
      <c r="AY398" s="1"/>
    </row>
    <row r="399" spans="1:51" ht="15.75" customHeight="1" x14ac:dyDescent="0.2">
      <c r="A399" s="245"/>
      <c r="B399" s="244"/>
      <c r="C399" s="245"/>
      <c r="D399" s="1"/>
      <c r="E399" s="290"/>
      <c r="F399" s="1"/>
      <c r="L399" s="246"/>
      <c r="W399" s="1"/>
      <c r="Y399" s="1"/>
      <c r="AA399" s="1"/>
      <c r="AC399" s="1"/>
      <c r="AE399" s="1"/>
      <c r="AG399" s="1"/>
      <c r="AI399" s="1"/>
      <c r="AK399" s="1"/>
      <c r="AO399" s="1"/>
      <c r="AP399" s="1"/>
      <c r="AQ399" s="1"/>
      <c r="AR399" s="1"/>
      <c r="AT399" s="1"/>
      <c r="AU399" s="1"/>
      <c r="AV399" s="1"/>
      <c r="AW399" s="1"/>
      <c r="AX399" s="1"/>
      <c r="AY399" s="1"/>
    </row>
    <row r="400" spans="1:51" ht="15.75" customHeight="1" x14ac:dyDescent="0.2">
      <c r="A400" s="245"/>
      <c r="B400" s="244"/>
      <c r="C400" s="245"/>
      <c r="D400" s="1"/>
      <c r="E400" s="290"/>
      <c r="F400" s="1"/>
      <c r="L400" s="246"/>
      <c r="W400" s="1"/>
      <c r="Y400" s="1"/>
      <c r="AA400" s="1"/>
      <c r="AC400" s="1"/>
      <c r="AE400" s="1"/>
      <c r="AG400" s="1"/>
      <c r="AI400" s="1"/>
      <c r="AK400" s="1"/>
      <c r="AO400" s="1"/>
      <c r="AP400" s="1"/>
      <c r="AQ400" s="1"/>
      <c r="AR400" s="1"/>
      <c r="AT400" s="1"/>
      <c r="AU400" s="1"/>
      <c r="AV400" s="1"/>
      <c r="AW400" s="1"/>
      <c r="AX400" s="1"/>
      <c r="AY400" s="1"/>
    </row>
    <row r="401" spans="1:51" ht="15.75" customHeight="1" x14ac:dyDescent="0.2">
      <c r="A401" s="245"/>
      <c r="B401" s="244"/>
      <c r="C401" s="245"/>
      <c r="D401" s="1"/>
      <c r="E401" s="290"/>
      <c r="F401" s="1"/>
      <c r="L401" s="246"/>
      <c r="W401" s="1"/>
      <c r="Y401" s="1"/>
      <c r="AA401" s="1"/>
      <c r="AC401" s="1"/>
      <c r="AE401" s="1"/>
      <c r="AG401" s="1"/>
      <c r="AI401" s="1"/>
      <c r="AK401" s="1"/>
      <c r="AO401" s="1"/>
      <c r="AP401" s="1"/>
      <c r="AQ401" s="1"/>
      <c r="AR401" s="1"/>
      <c r="AT401" s="1"/>
      <c r="AU401" s="1"/>
      <c r="AV401" s="1"/>
      <c r="AW401" s="1"/>
      <c r="AX401" s="1"/>
      <c r="AY401" s="1"/>
    </row>
    <row r="402" spans="1:51" ht="15.75" customHeight="1" x14ac:dyDescent="0.2">
      <c r="A402" s="245"/>
      <c r="B402" s="244"/>
      <c r="C402" s="245"/>
      <c r="D402" s="1"/>
      <c r="E402" s="290"/>
      <c r="F402" s="1"/>
      <c r="L402" s="246"/>
      <c r="W402" s="1"/>
      <c r="Y402" s="1"/>
      <c r="AA402" s="1"/>
      <c r="AC402" s="1"/>
      <c r="AE402" s="1"/>
      <c r="AG402" s="1"/>
      <c r="AI402" s="1"/>
      <c r="AK402" s="1"/>
      <c r="AO402" s="1"/>
      <c r="AP402" s="1"/>
      <c r="AQ402" s="1"/>
      <c r="AR402" s="1"/>
      <c r="AT402" s="1"/>
      <c r="AU402" s="1"/>
      <c r="AV402" s="1"/>
      <c r="AW402" s="1"/>
      <c r="AX402" s="1"/>
      <c r="AY402" s="1"/>
    </row>
    <row r="403" spans="1:51" ht="15.75" customHeight="1" x14ac:dyDescent="0.2">
      <c r="A403" s="245"/>
      <c r="B403" s="244"/>
      <c r="C403" s="245"/>
      <c r="D403" s="1"/>
      <c r="E403" s="290"/>
      <c r="F403" s="1"/>
      <c r="L403" s="246"/>
      <c r="W403" s="1"/>
      <c r="Y403" s="1"/>
      <c r="AA403" s="1"/>
      <c r="AC403" s="1"/>
      <c r="AE403" s="1"/>
      <c r="AG403" s="1"/>
      <c r="AI403" s="1"/>
      <c r="AK403" s="1"/>
      <c r="AO403" s="1"/>
      <c r="AP403" s="1"/>
      <c r="AQ403" s="1"/>
      <c r="AR403" s="1"/>
      <c r="AT403" s="1"/>
      <c r="AU403" s="1"/>
      <c r="AV403" s="1"/>
      <c r="AW403" s="1"/>
      <c r="AX403" s="1"/>
      <c r="AY403" s="1"/>
    </row>
    <row r="404" spans="1:51" ht="15.75" customHeight="1" x14ac:dyDescent="0.2">
      <c r="A404" s="245"/>
      <c r="B404" s="244"/>
      <c r="C404" s="245"/>
      <c r="D404" s="1"/>
      <c r="E404" s="290"/>
      <c r="F404" s="1"/>
      <c r="L404" s="246"/>
      <c r="W404" s="1"/>
      <c r="Y404" s="1"/>
      <c r="AA404" s="1"/>
      <c r="AC404" s="1"/>
      <c r="AE404" s="1"/>
      <c r="AG404" s="1"/>
      <c r="AI404" s="1"/>
      <c r="AK404" s="1"/>
      <c r="AO404" s="1"/>
      <c r="AP404" s="1"/>
      <c r="AQ404" s="1"/>
      <c r="AR404" s="1"/>
      <c r="AT404" s="1"/>
      <c r="AU404" s="1"/>
      <c r="AV404" s="1"/>
      <c r="AW404" s="1"/>
      <c r="AX404" s="1"/>
      <c r="AY404" s="1"/>
    </row>
    <row r="405" spans="1:51" ht="15.75" customHeight="1" x14ac:dyDescent="0.2">
      <c r="A405" s="245"/>
      <c r="B405" s="244"/>
      <c r="C405" s="245"/>
      <c r="D405" s="1"/>
      <c r="E405" s="290"/>
      <c r="F405" s="1"/>
      <c r="L405" s="246"/>
      <c r="W405" s="1"/>
      <c r="Y405" s="1"/>
      <c r="AA405" s="1"/>
      <c r="AC405" s="1"/>
      <c r="AE405" s="1"/>
      <c r="AG405" s="1"/>
      <c r="AI405" s="1"/>
      <c r="AK405" s="1"/>
      <c r="AO405" s="1"/>
      <c r="AP405" s="1"/>
      <c r="AQ405" s="1"/>
      <c r="AR405" s="1"/>
      <c r="AT405" s="1"/>
      <c r="AU405" s="1"/>
      <c r="AV405" s="1"/>
      <c r="AW405" s="1"/>
      <c r="AX405" s="1"/>
      <c r="AY405" s="1"/>
    </row>
    <row r="406" spans="1:51" ht="15.75" customHeight="1" x14ac:dyDescent="0.2">
      <c r="A406" s="245"/>
      <c r="B406" s="244"/>
      <c r="C406" s="245"/>
      <c r="D406" s="1"/>
      <c r="E406" s="290"/>
      <c r="F406" s="1"/>
      <c r="L406" s="246"/>
      <c r="W406" s="1"/>
      <c r="Y406" s="1"/>
      <c r="AA406" s="1"/>
      <c r="AC406" s="1"/>
      <c r="AE406" s="1"/>
      <c r="AG406" s="1"/>
      <c r="AI406" s="1"/>
      <c r="AK406" s="1"/>
      <c r="AO406" s="1"/>
      <c r="AP406" s="1"/>
      <c r="AQ406" s="1"/>
      <c r="AR406" s="1"/>
      <c r="AT406" s="1"/>
      <c r="AU406" s="1"/>
      <c r="AV406" s="1"/>
      <c r="AW406" s="1"/>
      <c r="AX406" s="1"/>
      <c r="AY406" s="1"/>
    </row>
    <row r="407" spans="1:51" ht="15.75" customHeight="1" x14ac:dyDescent="0.2">
      <c r="A407" s="245"/>
      <c r="B407" s="244"/>
      <c r="C407" s="245"/>
      <c r="D407" s="1"/>
      <c r="E407" s="290"/>
      <c r="F407" s="1"/>
      <c r="L407" s="246"/>
      <c r="W407" s="1"/>
      <c r="Y407" s="1"/>
      <c r="AA407" s="1"/>
      <c r="AC407" s="1"/>
      <c r="AE407" s="1"/>
      <c r="AG407" s="1"/>
      <c r="AI407" s="1"/>
      <c r="AK407" s="1"/>
      <c r="AO407" s="1"/>
      <c r="AP407" s="1"/>
      <c r="AQ407" s="1"/>
      <c r="AR407" s="1"/>
      <c r="AT407" s="1"/>
      <c r="AU407" s="1"/>
      <c r="AV407" s="1"/>
      <c r="AW407" s="1"/>
      <c r="AX407" s="1"/>
      <c r="AY407" s="1"/>
    </row>
    <row r="408" spans="1:51" ht="15.75" customHeight="1" x14ac:dyDescent="0.2">
      <c r="A408" s="245"/>
      <c r="B408" s="244"/>
      <c r="C408" s="245"/>
      <c r="D408" s="1"/>
      <c r="E408" s="290"/>
      <c r="F408" s="1"/>
      <c r="L408" s="246"/>
      <c r="W408" s="1"/>
      <c r="Y408" s="1"/>
      <c r="AA408" s="1"/>
      <c r="AC408" s="1"/>
      <c r="AE408" s="1"/>
      <c r="AG408" s="1"/>
      <c r="AI408" s="1"/>
      <c r="AK408" s="1"/>
      <c r="AO408" s="1"/>
      <c r="AP408" s="1"/>
      <c r="AQ408" s="1"/>
      <c r="AR408" s="1"/>
      <c r="AT408" s="1"/>
      <c r="AU408" s="1"/>
      <c r="AV408" s="1"/>
      <c r="AW408" s="1"/>
      <c r="AX408" s="1"/>
      <c r="AY408" s="1"/>
    </row>
    <row r="409" spans="1:51" ht="15.75" customHeight="1" x14ac:dyDescent="0.2">
      <c r="A409" s="245"/>
      <c r="B409" s="244"/>
      <c r="C409" s="245"/>
      <c r="D409" s="1"/>
      <c r="E409" s="290"/>
      <c r="F409" s="1"/>
      <c r="L409" s="246"/>
      <c r="W409" s="1"/>
      <c r="Y409" s="1"/>
      <c r="AA409" s="1"/>
      <c r="AC409" s="1"/>
      <c r="AE409" s="1"/>
      <c r="AG409" s="1"/>
      <c r="AI409" s="1"/>
      <c r="AK409" s="1"/>
      <c r="AO409" s="1"/>
      <c r="AP409" s="1"/>
      <c r="AQ409" s="1"/>
      <c r="AR409" s="1"/>
      <c r="AT409" s="1"/>
      <c r="AU409" s="1"/>
      <c r="AV409" s="1"/>
      <c r="AW409" s="1"/>
      <c r="AX409" s="1"/>
      <c r="AY409" s="1"/>
    </row>
    <row r="410" spans="1:51" ht="15.75" customHeight="1" x14ac:dyDescent="0.2">
      <c r="A410" s="245"/>
      <c r="B410" s="244"/>
      <c r="C410" s="245"/>
      <c r="D410" s="1"/>
      <c r="E410" s="290"/>
      <c r="F410" s="1"/>
      <c r="L410" s="246"/>
      <c r="W410" s="1"/>
      <c r="Y410" s="1"/>
      <c r="AA410" s="1"/>
      <c r="AC410" s="1"/>
      <c r="AE410" s="1"/>
      <c r="AG410" s="1"/>
      <c r="AI410" s="1"/>
      <c r="AK410" s="1"/>
      <c r="AO410" s="1"/>
      <c r="AP410" s="1"/>
      <c r="AQ410" s="1"/>
      <c r="AR410" s="1"/>
      <c r="AT410" s="1"/>
      <c r="AU410" s="1"/>
      <c r="AV410" s="1"/>
      <c r="AW410" s="1"/>
      <c r="AX410" s="1"/>
      <c r="AY410" s="1"/>
    </row>
    <row r="411" spans="1:51" ht="15.75" customHeight="1" x14ac:dyDescent="0.2">
      <c r="A411" s="245"/>
      <c r="B411" s="244"/>
      <c r="C411" s="245"/>
      <c r="D411" s="1"/>
      <c r="E411" s="290"/>
      <c r="F411" s="1"/>
      <c r="L411" s="246"/>
      <c r="W411" s="1"/>
      <c r="Y411" s="1"/>
      <c r="AA411" s="1"/>
      <c r="AC411" s="1"/>
      <c r="AE411" s="1"/>
      <c r="AG411" s="1"/>
      <c r="AI411" s="1"/>
      <c r="AK411" s="1"/>
      <c r="AO411" s="1"/>
      <c r="AP411" s="1"/>
      <c r="AQ411" s="1"/>
      <c r="AR411" s="1"/>
      <c r="AT411" s="1"/>
      <c r="AU411" s="1"/>
      <c r="AV411" s="1"/>
      <c r="AW411" s="1"/>
      <c r="AX411" s="1"/>
      <c r="AY411" s="1"/>
    </row>
    <row r="412" spans="1:51" ht="15.75" customHeight="1" x14ac:dyDescent="0.2">
      <c r="A412" s="245"/>
      <c r="B412" s="244"/>
      <c r="C412" s="245"/>
      <c r="D412" s="1"/>
      <c r="E412" s="290"/>
      <c r="F412" s="1"/>
      <c r="L412" s="246"/>
      <c r="W412" s="1"/>
      <c r="Y412" s="1"/>
      <c r="AA412" s="1"/>
      <c r="AC412" s="1"/>
      <c r="AE412" s="1"/>
      <c r="AG412" s="1"/>
      <c r="AI412" s="1"/>
      <c r="AK412" s="1"/>
      <c r="AO412" s="1"/>
      <c r="AP412" s="1"/>
      <c r="AQ412" s="1"/>
      <c r="AR412" s="1"/>
      <c r="AT412" s="1"/>
      <c r="AU412" s="1"/>
      <c r="AV412" s="1"/>
      <c r="AW412" s="1"/>
      <c r="AX412" s="1"/>
      <c r="AY412" s="1"/>
    </row>
    <row r="413" spans="1:51" ht="15.75" customHeight="1" x14ac:dyDescent="0.2">
      <c r="A413" s="245"/>
      <c r="B413" s="244"/>
      <c r="C413" s="245"/>
      <c r="D413" s="1"/>
      <c r="E413" s="290"/>
      <c r="F413" s="1"/>
      <c r="L413" s="246"/>
      <c r="W413" s="1"/>
      <c r="Y413" s="1"/>
      <c r="AA413" s="1"/>
      <c r="AC413" s="1"/>
      <c r="AE413" s="1"/>
      <c r="AG413" s="1"/>
      <c r="AI413" s="1"/>
      <c r="AK413" s="1"/>
      <c r="AO413" s="1"/>
      <c r="AP413" s="1"/>
      <c r="AQ413" s="1"/>
      <c r="AR413" s="1"/>
      <c r="AT413" s="1"/>
      <c r="AU413" s="1"/>
      <c r="AV413" s="1"/>
      <c r="AW413" s="1"/>
      <c r="AX413" s="1"/>
      <c r="AY413" s="1"/>
    </row>
    <row r="414" spans="1:51" ht="15.75" customHeight="1" x14ac:dyDescent="0.2">
      <c r="A414" s="245"/>
      <c r="B414" s="244"/>
      <c r="C414" s="245"/>
      <c r="D414" s="1"/>
      <c r="E414" s="290"/>
      <c r="F414" s="1"/>
      <c r="L414" s="246"/>
      <c r="W414" s="1"/>
      <c r="Y414" s="1"/>
      <c r="AA414" s="1"/>
      <c r="AC414" s="1"/>
      <c r="AE414" s="1"/>
      <c r="AG414" s="1"/>
      <c r="AI414" s="1"/>
      <c r="AK414" s="1"/>
      <c r="AO414" s="1"/>
      <c r="AP414" s="1"/>
      <c r="AQ414" s="1"/>
      <c r="AR414" s="1"/>
      <c r="AT414" s="1"/>
      <c r="AU414" s="1"/>
      <c r="AV414" s="1"/>
      <c r="AW414" s="1"/>
      <c r="AX414" s="1"/>
      <c r="AY414" s="1"/>
    </row>
    <row r="415" spans="1:51" ht="15.75" customHeight="1" x14ac:dyDescent="0.2">
      <c r="A415" s="245"/>
      <c r="B415" s="244"/>
      <c r="C415" s="245"/>
      <c r="D415" s="1"/>
      <c r="E415" s="290"/>
      <c r="F415" s="1"/>
      <c r="L415" s="246"/>
      <c r="W415" s="1"/>
      <c r="Y415" s="1"/>
      <c r="AA415" s="1"/>
      <c r="AC415" s="1"/>
      <c r="AE415" s="1"/>
      <c r="AG415" s="1"/>
      <c r="AI415" s="1"/>
      <c r="AK415" s="1"/>
      <c r="AO415" s="1"/>
      <c r="AP415" s="1"/>
      <c r="AQ415" s="1"/>
      <c r="AR415" s="1"/>
      <c r="AT415" s="1"/>
      <c r="AU415" s="1"/>
      <c r="AV415" s="1"/>
      <c r="AW415" s="1"/>
      <c r="AX415" s="1"/>
      <c r="AY415" s="1"/>
    </row>
    <row r="416" spans="1:51" ht="15.75" customHeight="1" x14ac:dyDescent="0.2">
      <c r="A416" s="245"/>
      <c r="B416" s="244"/>
      <c r="C416" s="245"/>
      <c r="D416" s="1"/>
      <c r="E416" s="290"/>
      <c r="F416" s="1"/>
      <c r="L416" s="246"/>
      <c r="W416" s="1"/>
      <c r="Y416" s="1"/>
      <c r="AA416" s="1"/>
      <c r="AC416" s="1"/>
      <c r="AE416" s="1"/>
      <c r="AG416" s="1"/>
      <c r="AI416" s="1"/>
      <c r="AK416" s="1"/>
      <c r="AO416" s="1"/>
      <c r="AP416" s="1"/>
      <c r="AQ416" s="1"/>
      <c r="AR416" s="1"/>
      <c r="AT416" s="1"/>
      <c r="AU416" s="1"/>
      <c r="AV416" s="1"/>
      <c r="AW416" s="1"/>
      <c r="AX416" s="1"/>
      <c r="AY416" s="1"/>
    </row>
    <row r="417" spans="1:51" ht="15.75" customHeight="1" x14ac:dyDescent="0.2">
      <c r="A417" s="245"/>
      <c r="B417" s="244"/>
      <c r="C417" s="245"/>
      <c r="D417" s="1"/>
      <c r="E417" s="290"/>
      <c r="F417" s="1"/>
      <c r="L417" s="246"/>
      <c r="W417" s="1"/>
      <c r="Y417" s="1"/>
      <c r="AA417" s="1"/>
      <c r="AC417" s="1"/>
      <c r="AE417" s="1"/>
      <c r="AG417" s="1"/>
      <c r="AI417" s="1"/>
      <c r="AK417" s="1"/>
      <c r="AO417" s="1"/>
      <c r="AP417" s="1"/>
      <c r="AQ417" s="1"/>
      <c r="AR417" s="1"/>
      <c r="AT417" s="1"/>
      <c r="AU417" s="1"/>
      <c r="AV417" s="1"/>
      <c r="AW417" s="1"/>
      <c r="AX417" s="1"/>
      <c r="AY417" s="1"/>
    </row>
    <row r="418" spans="1:51" ht="15.75" customHeight="1" x14ac:dyDescent="0.2">
      <c r="A418" s="245"/>
      <c r="B418" s="244"/>
      <c r="C418" s="245"/>
      <c r="D418" s="1"/>
      <c r="E418" s="290"/>
      <c r="F418" s="1"/>
      <c r="L418" s="246"/>
      <c r="W418" s="1"/>
      <c r="Y418" s="1"/>
      <c r="AA418" s="1"/>
      <c r="AC418" s="1"/>
      <c r="AE418" s="1"/>
      <c r="AG418" s="1"/>
      <c r="AI418" s="1"/>
      <c r="AK418" s="1"/>
      <c r="AO418" s="1"/>
      <c r="AP418" s="1"/>
      <c r="AQ418" s="1"/>
      <c r="AR418" s="1"/>
      <c r="AT418" s="1"/>
      <c r="AU418" s="1"/>
      <c r="AV418" s="1"/>
      <c r="AW418" s="1"/>
      <c r="AX418" s="1"/>
      <c r="AY418" s="1"/>
    </row>
    <row r="419" spans="1:51" ht="15.75" customHeight="1" x14ac:dyDescent="0.2">
      <c r="A419" s="245"/>
      <c r="B419" s="244"/>
      <c r="C419" s="245"/>
      <c r="D419" s="1"/>
      <c r="E419" s="290"/>
      <c r="F419" s="1"/>
      <c r="L419" s="246"/>
      <c r="W419" s="1"/>
      <c r="Y419" s="1"/>
      <c r="AA419" s="1"/>
      <c r="AC419" s="1"/>
      <c r="AE419" s="1"/>
      <c r="AG419" s="1"/>
      <c r="AI419" s="1"/>
      <c r="AK419" s="1"/>
      <c r="AO419" s="1"/>
      <c r="AP419" s="1"/>
      <c r="AQ419" s="1"/>
      <c r="AR419" s="1"/>
      <c r="AT419" s="1"/>
      <c r="AU419" s="1"/>
      <c r="AV419" s="1"/>
      <c r="AW419" s="1"/>
      <c r="AX419" s="1"/>
      <c r="AY419" s="1"/>
    </row>
    <row r="420" spans="1:51" ht="15.75" customHeight="1" x14ac:dyDescent="0.2">
      <c r="A420" s="245"/>
      <c r="B420" s="244"/>
      <c r="C420" s="245"/>
      <c r="D420" s="1"/>
      <c r="E420" s="290"/>
      <c r="F420" s="1"/>
      <c r="L420" s="246"/>
      <c r="W420" s="1"/>
      <c r="Y420" s="1"/>
      <c r="AA420" s="1"/>
      <c r="AC420" s="1"/>
      <c r="AE420" s="1"/>
      <c r="AG420" s="1"/>
      <c r="AI420" s="1"/>
      <c r="AK420" s="1"/>
      <c r="AO420" s="1"/>
      <c r="AP420" s="1"/>
      <c r="AQ420" s="1"/>
      <c r="AR420" s="1"/>
      <c r="AT420" s="1"/>
      <c r="AU420" s="1"/>
      <c r="AV420" s="1"/>
      <c r="AW420" s="1"/>
      <c r="AX420" s="1"/>
      <c r="AY420" s="1"/>
    </row>
    <row r="421" spans="1:51" ht="15.75" customHeight="1" x14ac:dyDescent="0.2">
      <c r="A421" s="245"/>
      <c r="B421" s="244"/>
      <c r="C421" s="245"/>
      <c r="D421" s="1"/>
      <c r="E421" s="290"/>
      <c r="F421" s="1"/>
      <c r="L421" s="246"/>
      <c r="W421" s="1"/>
      <c r="Y421" s="1"/>
      <c r="AA421" s="1"/>
      <c r="AC421" s="1"/>
      <c r="AE421" s="1"/>
      <c r="AG421" s="1"/>
      <c r="AI421" s="1"/>
      <c r="AK421" s="1"/>
      <c r="AO421" s="1"/>
      <c r="AP421" s="1"/>
      <c r="AQ421" s="1"/>
      <c r="AR421" s="1"/>
      <c r="AT421" s="1"/>
      <c r="AU421" s="1"/>
      <c r="AV421" s="1"/>
      <c r="AW421" s="1"/>
      <c r="AX421" s="1"/>
      <c r="AY421" s="1"/>
    </row>
    <row r="422" spans="1:51" ht="15.75" customHeight="1" x14ac:dyDescent="0.2">
      <c r="A422" s="245"/>
      <c r="B422" s="244"/>
      <c r="C422" s="245"/>
      <c r="D422" s="1"/>
      <c r="E422" s="290"/>
      <c r="F422" s="1"/>
      <c r="L422" s="246"/>
      <c r="W422" s="1"/>
      <c r="Y422" s="1"/>
      <c r="AA422" s="1"/>
      <c r="AC422" s="1"/>
      <c r="AE422" s="1"/>
      <c r="AG422" s="1"/>
      <c r="AI422" s="1"/>
      <c r="AK422" s="1"/>
      <c r="AO422" s="1"/>
      <c r="AP422" s="1"/>
      <c r="AQ422" s="1"/>
      <c r="AR422" s="1"/>
      <c r="AT422" s="1"/>
      <c r="AU422" s="1"/>
      <c r="AV422" s="1"/>
      <c r="AW422" s="1"/>
      <c r="AX422" s="1"/>
      <c r="AY422" s="1"/>
    </row>
    <row r="423" spans="1:51" ht="15.75" customHeight="1" x14ac:dyDescent="0.2">
      <c r="A423" s="245"/>
      <c r="B423" s="244"/>
      <c r="C423" s="245"/>
      <c r="D423" s="1"/>
      <c r="E423" s="290"/>
      <c r="F423" s="1"/>
      <c r="L423" s="246"/>
      <c r="W423" s="1"/>
      <c r="Y423" s="1"/>
      <c r="AA423" s="1"/>
      <c r="AC423" s="1"/>
      <c r="AE423" s="1"/>
      <c r="AG423" s="1"/>
      <c r="AI423" s="1"/>
      <c r="AK423" s="1"/>
      <c r="AO423" s="1"/>
      <c r="AP423" s="1"/>
      <c r="AQ423" s="1"/>
      <c r="AR423" s="1"/>
      <c r="AT423" s="1"/>
      <c r="AU423" s="1"/>
      <c r="AV423" s="1"/>
      <c r="AW423" s="1"/>
      <c r="AX423" s="1"/>
      <c r="AY423" s="1"/>
    </row>
    <row r="424" spans="1:51" ht="15.75" customHeight="1" x14ac:dyDescent="0.2">
      <c r="A424" s="245"/>
      <c r="B424" s="244"/>
      <c r="C424" s="245"/>
      <c r="D424" s="1"/>
      <c r="E424" s="290"/>
      <c r="F424" s="1"/>
      <c r="L424" s="246"/>
      <c r="W424" s="1"/>
      <c r="Y424" s="1"/>
      <c r="AA424" s="1"/>
      <c r="AC424" s="1"/>
      <c r="AE424" s="1"/>
      <c r="AG424" s="1"/>
      <c r="AI424" s="1"/>
      <c r="AK424" s="1"/>
      <c r="AO424" s="1"/>
      <c r="AP424" s="1"/>
      <c r="AQ424" s="1"/>
      <c r="AR424" s="1"/>
      <c r="AT424" s="1"/>
      <c r="AU424" s="1"/>
      <c r="AV424" s="1"/>
      <c r="AW424" s="1"/>
      <c r="AX424" s="1"/>
      <c r="AY424" s="1"/>
    </row>
    <row r="425" spans="1:51" ht="15.75" customHeight="1" x14ac:dyDescent="0.2">
      <c r="A425" s="245"/>
      <c r="B425" s="244"/>
      <c r="C425" s="245"/>
      <c r="D425" s="1"/>
      <c r="E425" s="290"/>
      <c r="F425" s="1"/>
      <c r="L425" s="246"/>
      <c r="W425" s="1"/>
      <c r="Y425" s="1"/>
      <c r="AA425" s="1"/>
      <c r="AC425" s="1"/>
      <c r="AE425" s="1"/>
      <c r="AG425" s="1"/>
      <c r="AI425" s="1"/>
      <c r="AK425" s="1"/>
      <c r="AO425" s="1"/>
      <c r="AP425" s="1"/>
      <c r="AQ425" s="1"/>
      <c r="AR425" s="1"/>
      <c r="AT425" s="1"/>
      <c r="AU425" s="1"/>
      <c r="AV425" s="1"/>
      <c r="AW425" s="1"/>
      <c r="AX425" s="1"/>
      <c r="AY425" s="1"/>
    </row>
    <row r="426" spans="1:51" ht="15.75" customHeight="1" x14ac:dyDescent="0.2">
      <c r="A426" s="245"/>
      <c r="B426" s="244"/>
      <c r="C426" s="245"/>
      <c r="D426" s="1"/>
      <c r="E426" s="290"/>
      <c r="F426" s="1"/>
      <c r="L426" s="246"/>
      <c r="W426" s="1"/>
      <c r="Y426" s="1"/>
      <c r="AA426" s="1"/>
      <c r="AC426" s="1"/>
      <c r="AE426" s="1"/>
      <c r="AG426" s="1"/>
      <c r="AI426" s="1"/>
      <c r="AK426" s="1"/>
      <c r="AO426" s="1"/>
      <c r="AP426" s="1"/>
      <c r="AQ426" s="1"/>
      <c r="AR426" s="1"/>
      <c r="AT426" s="1"/>
      <c r="AU426" s="1"/>
      <c r="AV426" s="1"/>
      <c r="AW426" s="1"/>
      <c r="AX426" s="1"/>
      <c r="AY426" s="1"/>
    </row>
    <row r="427" spans="1:51" ht="15.75" customHeight="1" x14ac:dyDescent="0.2">
      <c r="A427" s="245"/>
      <c r="B427" s="244"/>
      <c r="C427" s="245"/>
      <c r="D427" s="1"/>
      <c r="E427" s="290"/>
      <c r="F427" s="1"/>
      <c r="L427" s="246"/>
      <c r="W427" s="1"/>
      <c r="Y427" s="1"/>
      <c r="AA427" s="1"/>
      <c r="AC427" s="1"/>
      <c r="AE427" s="1"/>
      <c r="AG427" s="1"/>
      <c r="AI427" s="1"/>
      <c r="AK427" s="1"/>
      <c r="AO427" s="1"/>
      <c r="AP427" s="1"/>
      <c r="AQ427" s="1"/>
      <c r="AR427" s="1"/>
      <c r="AT427" s="1"/>
      <c r="AU427" s="1"/>
      <c r="AV427" s="1"/>
      <c r="AW427" s="1"/>
      <c r="AX427" s="1"/>
      <c r="AY427" s="1"/>
    </row>
    <row r="428" spans="1:51" ht="15.75" customHeight="1" x14ac:dyDescent="0.2">
      <c r="A428" s="245"/>
      <c r="B428" s="244"/>
      <c r="C428" s="245"/>
      <c r="D428" s="1"/>
      <c r="E428" s="290"/>
      <c r="F428" s="1"/>
      <c r="L428" s="246"/>
      <c r="W428" s="1"/>
      <c r="Y428" s="1"/>
      <c r="AA428" s="1"/>
      <c r="AC428" s="1"/>
      <c r="AE428" s="1"/>
      <c r="AG428" s="1"/>
      <c r="AI428" s="1"/>
      <c r="AK428" s="1"/>
      <c r="AO428" s="1"/>
      <c r="AP428" s="1"/>
      <c r="AQ428" s="1"/>
      <c r="AR428" s="1"/>
      <c r="AT428" s="1"/>
      <c r="AU428" s="1"/>
      <c r="AV428" s="1"/>
      <c r="AW428" s="1"/>
      <c r="AX428" s="1"/>
      <c r="AY428" s="1"/>
    </row>
    <row r="429" spans="1:51" ht="15.75" customHeight="1" x14ac:dyDescent="0.2">
      <c r="A429" s="245"/>
      <c r="B429" s="244"/>
      <c r="C429" s="245"/>
      <c r="D429" s="1"/>
      <c r="E429" s="290"/>
      <c r="F429" s="1"/>
      <c r="L429" s="246"/>
      <c r="W429" s="1"/>
      <c r="Y429" s="1"/>
      <c r="AA429" s="1"/>
      <c r="AC429" s="1"/>
      <c r="AE429" s="1"/>
      <c r="AG429" s="1"/>
      <c r="AI429" s="1"/>
      <c r="AK429" s="1"/>
      <c r="AO429" s="1"/>
      <c r="AP429" s="1"/>
      <c r="AQ429" s="1"/>
      <c r="AR429" s="1"/>
      <c r="AT429" s="1"/>
      <c r="AU429" s="1"/>
      <c r="AV429" s="1"/>
      <c r="AW429" s="1"/>
      <c r="AX429" s="1"/>
      <c r="AY429" s="1"/>
    </row>
    <row r="430" spans="1:51" ht="15.75" customHeight="1" x14ac:dyDescent="0.2">
      <c r="A430" s="245"/>
      <c r="B430" s="244"/>
      <c r="C430" s="245"/>
      <c r="D430" s="1"/>
      <c r="E430" s="290"/>
      <c r="F430" s="1"/>
      <c r="L430" s="246"/>
      <c r="W430" s="1"/>
      <c r="Y430" s="1"/>
      <c r="AA430" s="1"/>
      <c r="AC430" s="1"/>
      <c r="AE430" s="1"/>
      <c r="AG430" s="1"/>
      <c r="AI430" s="1"/>
      <c r="AK430" s="1"/>
      <c r="AO430" s="1"/>
      <c r="AP430" s="1"/>
      <c r="AQ430" s="1"/>
      <c r="AR430" s="1"/>
      <c r="AT430" s="1"/>
      <c r="AU430" s="1"/>
      <c r="AV430" s="1"/>
      <c r="AW430" s="1"/>
      <c r="AX430" s="1"/>
      <c r="AY430" s="1"/>
    </row>
    <row r="431" spans="1:51" ht="15.75" customHeight="1" x14ac:dyDescent="0.2">
      <c r="A431" s="245"/>
      <c r="B431" s="244"/>
      <c r="C431" s="245"/>
      <c r="D431" s="1"/>
      <c r="E431" s="290"/>
      <c r="F431" s="1"/>
      <c r="L431" s="246"/>
      <c r="W431" s="1"/>
      <c r="Y431" s="1"/>
      <c r="AA431" s="1"/>
      <c r="AC431" s="1"/>
      <c r="AE431" s="1"/>
      <c r="AG431" s="1"/>
      <c r="AI431" s="1"/>
      <c r="AK431" s="1"/>
      <c r="AO431" s="1"/>
      <c r="AP431" s="1"/>
      <c r="AQ431" s="1"/>
      <c r="AR431" s="1"/>
      <c r="AT431" s="1"/>
      <c r="AU431" s="1"/>
      <c r="AV431" s="1"/>
      <c r="AW431" s="1"/>
      <c r="AX431" s="1"/>
      <c r="AY431" s="1"/>
    </row>
    <row r="432" spans="1:51" ht="15.75" customHeight="1" x14ac:dyDescent="0.2">
      <c r="A432" s="245"/>
      <c r="B432" s="244"/>
      <c r="C432" s="245"/>
      <c r="D432" s="1"/>
      <c r="E432" s="290"/>
      <c r="F432" s="1"/>
      <c r="L432" s="246"/>
      <c r="W432" s="1"/>
      <c r="Y432" s="1"/>
      <c r="AA432" s="1"/>
      <c r="AC432" s="1"/>
      <c r="AE432" s="1"/>
      <c r="AG432" s="1"/>
      <c r="AI432" s="1"/>
      <c r="AK432" s="1"/>
      <c r="AO432" s="1"/>
      <c r="AP432" s="1"/>
      <c r="AQ432" s="1"/>
      <c r="AR432" s="1"/>
      <c r="AT432" s="1"/>
      <c r="AU432" s="1"/>
      <c r="AV432" s="1"/>
      <c r="AW432" s="1"/>
      <c r="AX432" s="1"/>
      <c r="AY432" s="1"/>
    </row>
    <row r="433" spans="1:51" ht="15.75" customHeight="1" x14ac:dyDescent="0.2">
      <c r="A433" s="245"/>
      <c r="B433" s="244"/>
      <c r="C433" s="245"/>
      <c r="D433" s="1"/>
      <c r="E433" s="290"/>
      <c r="F433" s="1"/>
      <c r="L433" s="246"/>
      <c r="W433" s="1"/>
      <c r="Y433" s="1"/>
      <c r="AA433" s="1"/>
      <c r="AC433" s="1"/>
      <c r="AE433" s="1"/>
      <c r="AG433" s="1"/>
      <c r="AI433" s="1"/>
      <c r="AK433" s="1"/>
      <c r="AO433" s="1"/>
      <c r="AP433" s="1"/>
      <c r="AQ433" s="1"/>
      <c r="AR433" s="1"/>
      <c r="AT433" s="1"/>
      <c r="AU433" s="1"/>
      <c r="AV433" s="1"/>
      <c r="AW433" s="1"/>
      <c r="AX433" s="1"/>
      <c r="AY433" s="1"/>
    </row>
    <row r="434" spans="1:51" ht="15.75" customHeight="1" x14ac:dyDescent="0.2">
      <c r="A434" s="245"/>
      <c r="B434" s="244"/>
      <c r="C434" s="245"/>
      <c r="D434" s="1"/>
      <c r="E434" s="290"/>
      <c r="F434" s="1"/>
      <c r="L434" s="246"/>
      <c r="W434" s="1"/>
      <c r="Y434" s="1"/>
      <c r="AA434" s="1"/>
      <c r="AC434" s="1"/>
      <c r="AE434" s="1"/>
      <c r="AG434" s="1"/>
      <c r="AI434" s="1"/>
      <c r="AK434" s="1"/>
      <c r="AO434" s="1"/>
      <c r="AP434" s="1"/>
      <c r="AQ434" s="1"/>
      <c r="AR434" s="1"/>
      <c r="AT434" s="1"/>
      <c r="AU434" s="1"/>
      <c r="AV434" s="1"/>
      <c r="AW434" s="1"/>
      <c r="AX434" s="1"/>
      <c r="AY434" s="1"/>
    </row>
    <row r="435" spans="1:51" ht="15.75" customHeight="1" x14ac:dyDescent="0.2">
      <c r="A435" s="245"/>
      <c r="B435" s="244"/>
      <c r="C435" s="245"/>
      <c r="D435" s="1"/>
      <c r="E435" s="290"/>
      <c r="F435" s="1"/>
      <c r="L435" s="246"/>
      <c r="W435" s="1"/>
      <c r="Y435" s="1"/>
      <c r="AA435" s="1"/>
      <c r="AC435" s="1"/>
      <c r="AE435" s="1"/>
      <c r="AG435" s="1"/>
      <c r="AI435" s="1"/>
      <c r="AK435" s="1"/>
      <c r="AO435" s="1"/>
      <c r="AP435" s="1"/>
      <c r="AQ435" s="1"/>
      <c r="AR435" s="1"/>
      <c r="AT435" s="1"/>
      <c r="AU435" s="1"/>
      <c r="AV435" s="1"/>
      <c r="AW435" s="1"/>
      <c r="AX435" s="1"/>
      <c r="AY435" s="1"/>
    </row>
    <row r="436" spans="1:51" ht="15.75" customHeight="1" x14ac:dyDescent="0.2">
      <c r="A436" s="245"/>
      <c r="B436" s="244"/>
      <c r="C436" s="245"/>
      <c r="D436" s="1"/>
      <c r="E436" s="290"/>
      <c r="F436" s="1"/>
      <c r="L436" s="246"/>
      <c r="W436" s="1"/>
      <c r="Y436" s="1"/>
      <c r="AA436" s="1"/>
      <c r="AC436" s="1"/>
      <c r="AE436" s="1"/>
      <c r="AG436" s="1"/>
      <c r="AI436" s="1"/>
      <c r="AK436" s="1"/>
      <c r="AO436" s="1"/>
      <c r="AP436" s="1"/>
      <c r="AQ436" s="1"/>
      <c r="AR436" s="1"/>
      <c r="AT436" s="1"/>
      <c r="AU436" s="1"/>
      <c r="AV436" s="1"/>
      <c r="AW436" s="1"/>
      <c r="AX436" s="1"/>
      <c r="AY436" s="1"/>
    </row>
    <row r="437" spans="1:51" ht="15.75" customHeight="1" x14ac:dyDescent="0.2">
      <c r="A437" s="245"/>
      <c r="B437" s="244"/>
      <c r="C437" s="245"/>
      <c r="D437" s="1"/>
      <c r="E437" s="290"/>
      <c r="F437" s="1"/>
      <c r="L437" s="246"/>
      <c r="W437" s="1"/>
      <c r="Y437" s="1"/>
      <c r="AA437" s="1"/>
      <c r="AC437" s="1"/>
      <c r="AE437" s="1"/>
      <c r="AG437" s="1"/>
      <c r="AI437" s="1"/>
      <c r="AK437" s="1"/>
      <c r="AO437" s="1"/>
      <c r="AP437" s="1"/>
      <c r="AQ437" s="1"/>
      <c r="AR437" s="1"/>
      <c r="AT437" s="1"/>
      <c r="AU437" s="1"/>
      <c r="AV437" s="1"/>
      <c r="AW437" s="1"/>
      <c r="AX437" s="1"/>
      <c r="AY437" s="1"/>
    </row>
    <row r="438" spans="1:51" ht="15.75" customHeight="1" x14ac:dyDescent="0.2">
      <c r="A438" s="245"/>
      <c r="B438" s="244"/>
      <c r="C438" s="245"/>
      <c r="D438" s="1"/>
      <c r="E438" s="290"/>
      <c r="F438" s="1"/>
      <c r="L438" s="246"/>
      <c r="W438" s="1"/>
      <c r="Y438" s="1"/>
      <c r="AA438" s="1"/>
      <c r="AC438" s="1"/>
      <c r="AE438" s="1"/>
      <c r="AG438" s="1"/>
      <c r="AI438" s="1"/>
      <c r="AK438" s="1"/>
      <c r="AO438" s="1"/>
      <c r="AP438" s="1"/>
      <c r="AQ438" s="1"/>
      <c r="AR438" s="1"/>
      <c r="AT438" s="1"/>
      <c r="AU438" s="1"/>
      <c r="AV438" s="1"/>
      <c r="AW438" s="1"/>
      <c r="AX438" s="1"/>
      <c r="AY438" s="1"/>
    </row>
    <row r="439" spans="1:51" ht="15.75" customHeight="1" x14ac:dyDescent="0.2">
      <c r="A439" s="245"/>
      <c r="B439" s="244"/>
      <c r="C439" s="245"/>
      <c r="D439" s="1"/>
      <c r="E439" s="290"/>
      <c r="F439" s="1"/>
      <c r="L439" s="246"/>
      <c r="W439" s="1"/>
      <c r="Y439" s="1"/>
      <c r="AA439" s="1"/>
      <c r="AC439" s="1"/>
      <c r="AE439" s="1"/>
      <c r="AG439" s="1"/>
      <c r="AI439" s="1"/>
      <c r="AK439" s="1"/>
      <c r="AO439" s="1"/>
      <c r="AP439" s="1"/>
      <c r="AQ439" s="1"/>
      <c r="AR439" s="1"/>
      <c r="AT439" s="1"/>
      <c r="AU439" s="1"/>
      <c r="AV439" s="1"/>
      <c r="AW439" s="1"/>
      <c r="AX439" s="1"/>
      <c r="AY439" s="1"/>
    </row>
    <row r="440" spans="1:51" ht="15.75" customHeight="1" x14ac:dyDescent="0.2">
      <c r="A440" s="245"/>
      <c r="B440" s="244"/>
      <c r="C440" s="245"/>
      <c r="D440" s="1"/>
      <c r="E440" s="290"/>
      <c r="F440" s="1"/>
      <c r="L440" s="246"/>
      <c r="W440" s="1"/>
      <c r="Y440" s="1"/>
      <c r="AA440" s="1"/>
      <c r="AC440" s="1"/>
      <c r="AE440" s="1"/>
      <c r="AG440" s="1"/>
      <c r="AI440" s="1"/>
      <c r="AK440" s="1"/>
      <c r="AO440" s="1"/>
      <c r="AP440" s="1"/>
      <c r="AQ440" s="1"/>
      <c r="AR440" s="1"/>
      <c r="AT440" s="1"/>
      <c r="AU440" s="1"/>
      <c r="AV440" s="1"/>
      <c r="AW440" s="1"/>
      <c r="AX440" s="1"/>
      <c r="AY440" s="1"/>
    </row>
    <row r="441" spans="1:51" ht="15.75" customHeight="1" x14ac:dyDescent="0.2">
      <c r="A441" s="245"/>
      <c r="B441" s="244"/>
      <c r="C441" s="245"/>
      <c r="D441" s="1"/>
      <c r="E441" s="290"/>
      <c r="F441" s="1"/>
      <c r="L441" s="246"/>
      <c r="W441" s="1"/>
      <c r="Y441" s="1"/>
      <c r="AA441" s="1"/>
      <c r="AC441" s="1"/>
      <c r="AE441" s="1"/>
      <c r="AG441" s="1"/>
      <c r="AI441" s="1"/>
      <c r="AK441" s="1"/>
      <c r="AO441" s="1"/>
      <c r="AP441" s="1"/>
      <c r="AQ441" s="1"/>
      <c r="AR441" s="1"/>
      <c r="AT441" s="1"/>
      <c r="AU441" s="1"/>
      <c r="AV441" s="1"/>
      <c r="AW441" s="1"/>
      <c r="AX441" s="1"/>
      <c r="AY441" s="1"/>
    </row>
    <row r="442" spans="1:51" ht="15.75" customHeight="1" x14ac:dyDescent="0.2">
      <c r="A442" s="245"/>
      <c r="B442" s="244"/>
      <c r="C442" s="245"/>
      <c r="D442" s="1"/>
      <c r="E442" s="290"/>
      <c r="F442" s="1"/>
      <c r="L442" s="246"/>
      <c r="W442" s="1"/>
      <c r="Y442" s="1"/>
      <c r="AA442" s="1"/>
      <c r="AC442" s="1"/>
      <c r="AE442" s="1"/>
      <c r="AG442" s="1"/>
      <c r="AI442" s="1"/>
      <c r="AK442" s="1"/>
      <c r="AO442" s="1"/>
      <c r="AP442" s="1"/>
      <c r="AQ442" s="1"/>
      <c r="AR442" s="1"/>
      <c r="AT442" s="1"/>
      <c r="AU442" s="1"/>
      <c r="AV442" s="1"/>
      <c r="AW442" s="1"/>
      <c r="AX442" s="1"/>
      <c r="AY442" s="1"/>
    </row>
    <row r="443" spans="1:51" ht="15.75" customHeight="1" x14ac:dyDescent="0.2">
      <c r="A443" s="245"/>
      <c r="B443" s="244"/>
      <c r="C443" s="245"/>
      <c r="D443" s="1"/>
      <c r="E443" s="290"/>
      <c r="F443" s="1"/>
      <c r="L443" s="246"/>
      <c r="W443" s="1"/>
      <c r="Y443" s="1"/>
      <c r="AA443" s="1"/>
      <c r="AC443" s="1"/>
      <c r="AE443" s="1"/>
      <c r="AG443" s="1"/>
      <c r="AI443" s="1"/>
      <c r="AK443" s="1"/>
      <c r="AO443" s="1"/>
      <c r="AP443" s="1"/>
      <c r="AQ443" s="1"/>
      <c r="AR443" s="1"/>
      <c r="AT443" s="1"/>
      <c r="AU443" s="1"/>
      <c r="AV443" s="1"/>
      <c r="AW443" s="1"/>
      <c r="AX443" s="1"/>
      <c r="AY443" s="1"/>
    </row>
    <row r="444" spans="1:51" ht="15.75" customHeight="1" x14ac:dyDescent="0.2">
      <c r="A444" s="245"/>
      <c r="B444" s="244"/>
      <c r="C444" s="245"/>
      <c r="D444" s="1"/>
      <c r="E444" s="290"/>
      <c r="F444" s="1"/>
      <c r="L444" s="246"/>
      <c r="W444" s="1"/>
      <c r="Y444" s="1"/>
      <c r="AA444" s="1"/>
      <c r="AC444" s="1"/>
      <c r="AE444" s="1"/>
      <c r="AG444" s="1"/>
      <c r="AI444" s="1"/>
      <c r="AK444" s="1"/>
      <c r="AO444" s="1"/>
      <c r="AP444" s="1"/>
      <c r="AQ444" s="1"/>
      <c r="AR444" s="1"/>
      <c r="AT444" s="1"/>
      <c r="AU444" s="1"/>
      <c r="AV444" s="1"/>
      <c r="AW444" s="1"/>
      <c r="AX444" s="1"/>
      <c r="AY444" s="1"/>
    </row>
    <row r="445" spans="1:51" ht="15.75" customHeight="1" x14ac:dyDescent="0.2">
      <c r="A445" s="245"/>
      <c r="B445" s="244"/>
      <c r="C445" s="245"/>
      <c r="D445" s="1"/>
      <c r="E445" s="290"/>
      <c r="F445" s="1"/>
      <c r="L445" s="246"/>
      <c r="W445" s="1"/>
      <c r="Y445" s="1"/>
      <c r="AA445" s="1"/>
      <c r="AC445" s="1"/>
      <c r="AE445" s="1"/>
      <c r="AG445" s="1"/>
      <c r="AI445" s="1"/>
      <c r="AK445" s="1"/>
      <c r="AO445" s="1"/>
      <c r="AP445" s="1"/>
      <c r="AQ445" s="1"/>
      <c r="AR445" s="1"/>
      <c r="AT445" s="1"/>
      <c r="AU445" s="1"/>
      <c r="AV445" s="1"/>
      <c r="AW445" s="1"/>
      <c r="AX445" s="1"/>
      <c r="AY445" s="1"/>
    </row>
    <row r="446" spans="1:51" ht="15.75" customHeight="1" x14ac:dyDescent="0.2">
      <c r="A446" s="245"/>
      <c r="B446" s="244"/>
      <c r="C446" s="245"/>
      <c r="D446" s="1"/>
      <c r="E446" s="290"/>
      <c r="F446" s="1"/>
      <c r="L446" s="246"/>
      <c r="W446" s="1"/>
      <c r="Y446" s="1"/>
      <c r="AA446" s="1"/>
      <c r="AC446" s="1"/>
      <c r="AE446" s="1"/>
      <c r="AG446" s="1"/>
      <c r="AI446" s="1"/>
      <c r="AK446" s="1"/>
      <c r="AO446" s="1"/>
      <c r="AP446" s="1"/>
      <c r="AQ446" s="1"/>
      <c r="AR446" s="1"/>
      <c r="AT446" s="1"/>
      <c r="AU446" s="1"/>
      <c r="AV446" s="1"/>
      <c r="AW446" s="1"/>
      <c r="AX446" s="1"/>
      <c r="AY446" s="1"/>
    </row>
    <row r="447" spans="1:51" ht="15.75" customHeight="1" x14ac:dyDescent="0.2">
      <c r="A447" s="245"/>
      <c r="B447" s="244"/>
      <c r="C447" s="245"/>
      <c r="D447" s="1"/>
      <c r="E447" s="290"/>
      <c r="F447" s="1"/>
      <c r="L447" s="246"/>
      <c r="W447" s="1"/>
      <c r="Y447" s="1"/>
      <c r="AA447" s="1"/>
      <c r="AC447" s="1"/>
      <c r="AE447" s="1"/>
      <c r="AG447" s="1"/>
      <c r="AI447" s="1"/>
      <c r="AK447" s="1"/>
      <c r="AO447" s="1"/>
      <c r="AP447" s="1"/>
      <c r="AQ447" s="1"/>
      <c r="AR447" s="1"/>
      <c r="AT447" s="1"/>
      <c r="AU447" s="1"/>
      <c r="AV447" s="1"/>
      <c r="AW447" s="1"/>
      <c r="AX447" s="1"/>
      <c r="AY447" s="1"/>
    </row>
    <row r="448" spans="1:51" ht="15.75" customHeight="1" x14ac:dyDescent="0.2">
      <c r="A448" s="245"/>
      <c r="B448" s="244"/>
      <c r="C448" s="245"/>
      <c r="D448" s="1"/>
      <c r="E448" s="290"/>
      <c r="F448" s="1"/>
      <c r="L448" s="246"/>
      <c r="W448" s="1"/>
      <c r="Y448" s="1"/>
      <c r="AA448" s="1"/>
      <c r="AC448" s="1"/>
      <c r="AE448" s="1"/>
      <c r="AG448" s="1"/>
      <c r="AI448" s="1"/>
      <c r="AK448" s="1"/>
      <c r="AO448" s="1"/>
      <c r="AP448" s="1"/>
      <c r="AQ448" s="1"/>
      <c r="AR448" s="1"/>
      <c r="AT448" s="1"/>
      <c r="AU448" s="1"/>
      <c r="AV448" s="1"/>
      <c r="AW448" s="1"/>
      <c r="AX448" s="1"/>
      <c r="AY448" s="1"/>
    </row>
    <row r="449" spans="1:51" ht="15.75" customHeight="1" x14ac:dyDescent="0.2">
      <c r="A449" s="245"/>
      <c r="B449" s="244"/>
      <c r="C449" s="245"/>
      <c r="D449" s="1"/>
      <c r="E449" s="290"/>
      <c r="F449" s="1"/>
      <c r="L449" s="246"/>
      <c r="W449" s="1"/>
      <c r="Y449" s="1"/>
      <c r="AA449" s="1"/>
      <c r="AC449" s="1"/>
      <c r="AE449" s="1"/>
      <c r="AG449" s="1"/>
      <c r="AI449" s="1"/>
      <c r="AK449" s="1"/>
      <c r="AO449" s="1"/>
      <c r="AP449" s="1"/>
      <c r="AQ449" s="1"/>
      <c r="AR449" s="1"/>
      <c r="AT449" s="1"/>
      <c r="AU449" s="1"/>
      <c r="AV449" s="1"/>
      <c r="AW449" s="1"/>
      <c r="AX449" s="1"/>
      <c r="AY449" s="1"/>
    </row>
    <row r="450" spans="1:51" ht="15.75" customHeight="1" x14ac:dyDescent="0.2">
      <c r="A450" s="245"/>
      <c r="B450" s="244"/>
      <c r="C450" s="245"/>
      <c r="D450" s="1"/>
      <c r="E450" s="290"/>
      <c r="F450" s="1"/>
      <c r="L450" s="246"/>
      <c r="W450" s="1"/>
      <c r="Y450" s="1"/>
      <c r="AA450" s="1"/>
      <c r="AC450" s="1"/>
      <c r="AE450" s="1"/>
      <c r="AG450" s="1"/>
      <c r="AI450" s="1"/>
      <c r="AK450" s="1"/>
      <c r="AO450" s="1"/>
      <c r="AP450" s="1"/>
      <c r="AQ450" s="1"/>
      <c r="AR450" s="1"/>
      <c r="AT450" s="1"/>
      <c r="AU450" s="1"/>
      <c r="AV450" s="1"/>
      <c r="AW450" s="1"/>
      <c r="AX450" s="1"/>
      <c r="AY450" s="1"/>
    </row>
    <row r="451" spans="1:51" ht="15.75" customHeight="1" x14ac:dyDescent="0.2">
      <c r="A451" s="245"/>
      <c r="B451" s="244"/>
      <c r="C451" s="245"/>
      <c r="D451" s="1"/>
      <c r="E451" s="290"/>
      <c r="F451" s="1"/>
      <c r="L451" s="246"/>
      <c r="W451" s="1"/>
      <c r="Y451" s="1"/>
      <c r="AA451" s="1"/>
      <c r="AC451" s="1"/>
      <c r="AE451" s="1"/>
      <c r="AG451" s="1"/>
      <c r="AI451" s="1"/>
      <c r="AK451" s="1"/>
      <c r="AO451" s="1"/>
      <c r="AP451" s="1"/>
      <c r="AQ451" s="1"/>
      <c r="AR451" s="1"/>
      <c r="AT451" s="1"/>
      <c r="AU451" s="1"/>
      <c r="AV451" s="1"/>
      <c r="AW451" s="1"/>
      <c r="AX451" s="1"/>
      <c r="AY451" s="1"/>
    </row>
    <row r="452" spans="1:51" ht="15.75" customHeight="1" x14ac:dyDescent="0.2">
      <c r="A452" s="245"/>
      <c r="B452" s="244"/>
      <c r="C452" s="245"/>
      <c r="D452" s="1"/>
      <c r="E452" s="290"/>
      <c r="F452" s="1"/>
      <c r="L452" s="246"/>
      <c r="W452" s="1"/>
      <c r="Y452" s="1"/>
      <c r="AA452" s="1"/>
      <c r="AC452" s="1"/>
      <c r="AE452" s="1"/>
      <c r="AG452" s="1"/>
      <c r="AI452" s="1"/>
      <c r="AK452" s="1"/>
      <c r="AO452" s="1"/>
      <c r="AP452" s="1"/>
      <c r="AQ452" s="1"/>
      <c r="AR452" s="1"/>
      <c r="AT452" s="1"/>
      <c r="AU452" s="1"/>
      <c r="AV452" s="1"/>
      <c r="AW452" s="1"/>
      <c r="AX452" s="1"/>
      <c r="AY452" s="1"/>
    </row>
    <row r="453" spans="1:51" ht="15.75" customHeight="1" x14ac:dyDescent="0.2">
      <c r="A453" s="245"/>
      <c r="B453" s="244"/>
      <c r="C453" s="245"/>
      <c r="D453" s="1"/>
      <c r="E453" s="290"/>
      <c r="F453" s="1"/>
      <c r="L453" s="246"/>
      <c r="W453" s="1"/>
      <c r="Y453" s="1"/>
      <c r="AA453" s="1"/>
      <c r="AC453" s="1"/>
      <c r="AE453" s="1"/>
      <c r="AG453" s="1"/>
      <c r="AI453" s="1"/>
      <c r="AK453" s="1"/>
      <c r="AO453" s="1"/>
      <c r="AP453" s="1"/>
      <c r="AQ453" s="1"/>
      <c r="AR453" s="1"/>
      <c r="AT453" s="1"/>
      <c r="AU453" s="1"/>
      <c r="AV453" s="1"/>
      <c r="AW453" s="1"/>
      <c r="AX453" s="1"/>
      <c r="AY453" s="1"/>
    </row>
    <row r="454" spans="1:51" ht="15.75" customHeight="1" x14ac:dyDescent="0.2">
      <c r="A454" s="245"/>
      <c r="B454" s="244"/>
      <c r="C454" s="245"/>
      <c r="D454" s="1"/>
      <c r="E454" s="290"/>
      <c r="F454" s="1"/>
      <c r="L454" s="246"/>
      <c r="W454" s="1"/>
      <c r="Y454" s="1"/>
      <c r="AA454" s="1"/>
      <c r="AC454" s="1"/>
      <c r="AE454" s="1"/>
      <c r="AG454" s="1"/>
      <c r="AI454" s="1"/>
      <c r="AK454" s="1"/>
      <c r="AO454" s="1"/>
      <c r="AP454" s="1"/>
      <c r="AQ454" s="1"/>
      <c r="AR454" s="1"/>
      <c r="AT454" s="1"/>
      <c r="AU454" s="1"/>
      <c r="AV454" s="1"/>
      <c r="AW454" s="1"/>
      <c r="AX454" s="1"/>
      <c r="AY454" s="1"/>
    </row>
    <row r="455" spans="1:51" ht="15.75" customHeight="1" x14ac:dyDescent="0.2">
      <c r="A455" s="245"/>
      <c r="B455" s="244"/>
      <c r="C455" s="245"/>
      <c r="D455" s="1"/>
      <c r="E455" s="290"/>
      <c r="F455" s="1"/>
      <c r="L455" s="246"/>
      <c r="W455" s="1"/>
      <c r="Y455" s="1"/>
      <c r="AA455" s="1"/>
      <c r="AC455" s="1"/>
      <c r="AE455" s="1"/>
      <c r="AG455" s="1"/>
      <c r="AI455" s="1"/>
      <c r="AK455" s="1"/>
      <c r="AO455" s="1"/>
      <c r="AP455" s="1"/>
      <c r="AQ455" s="1"/>
      <c r="AR455" s="1"/>
      <c r="AT455" s="1"/>
      <c r="AU455" s="1"/>
      <c r="AV455" s="1"/>
      <c r="AW455" s="1"/>
      <c r="AX455" s="1"/>
      <c r="AY455" s="1"/>
    </row>
    <row r="456" spans="1:51" ht="15.75" customHeight="1" x14ac:dyDescent="0.2">
      <c r="A456" s="245"/>
      <c r="B456" s="244"/>
      <c r="C456" s="245"/>
      <c r="D456" s="1"/>
      <c r="E456" s="290"/>
      <c r="F456" s="1"/>
      <c r="L456" s="246"/>
      <c r="W456" s="1"/>
      <c r="Y456" s="1"/>
      <c r="AA456" s="1"/>
      <c r="AC456" s="1"/>
      <c r="AE456" s="1"/>
      <c r="AG456" s="1"/>
      <c r="AI456" s="1"/>
      <c r="AK456" s="1"/>
      <c r="AO456" s="1"/>
      <c r="AP456" s="1"/>
      <c r="AQ456" s="1"/>
      <c r="AR456" s="1"/>
      <c r="AT456" s="1"/>
      <c r="AU456" s="1"/>
      <c r="AV456" s="1"/>
      <c r="AW456" s="1"/>
      <c r="AX456" s="1"/>
      <c r="AY456" s="1"/>
    </row>
    <row r="457" spans="1:51" ht="15.75" customHeight="1" x14ac:dyDescent="0.2">
      <c r="A457" s="245"/>
      <c r="B457" s="244"/>
      <c r="C457" s="245"/>
      <c r="D457" s="1"/>
      <c r="E457" s="290"/>
      <c r="F457" s="1"/>
      <c r="L457" s="246"/>
      <c r="W457" s="1"/>
      <c r="Y457" s="1"/>
      <c r="AA457" s="1"/>
      <c r="AC457" s="1"/>
      <c r="AE457" s="1"/>
      <c r="AG457" s="1"/>
      <c r="AI457" s="1"/>
      <c r="AK457" s="1"/>
      <c r="AO457" s="1"/>
      <c r="AP457" s="1"/>
      <c r="AQ457" s="1"/>
      <c r="AR457" s="1"/>
      <c r="AT457" s="1"/>
      <c r="AU457" s="1"/>
      <c r="AV457" s="1"/>
      <c r="AW457" s="1"/>
      <c r="AX457" s="1"/>
      <c r="AY457" s="1"/>
    </row>
    <row r="458" spans="1:51" ht="15.75" customHeight="1" x14ac:dyDescent="0.2">
      <c r="A458" s="245"/>
      <c r="B458" s="244"/>
      <c r="C458" s="245"/>
      <c r="D458" s="1"/>
      <c r="E458" s="290"/>
      <c r="F458" s="1"/>
      <c r="L458" s="246"/>
      <c r="W458" s="1"/>
      <c r="Y458" s="1"/>
      <c r="AA458" s="1"/>
      <c r="AC458" s="1"/>
      <c r="AE458" s="1"/>
      <c r="AG458" s="1"/>
      <c r="AI458" s="1"/>
      <c r="AK458" s="1"/>
      <c r="AO458" s="1"/>
      <c r="AP458" s="1"/>
      <c r="AQ458" s="1"/>
      <c r="AR458" s="1"/>
      <c r="AT458" s="1"/>
      <c r="AU458" s="1"/>
      <c r="AV458" s="1"/>
      <c r="AW458" s="1"/>
      <c r="AX458" s="1"/>
      <c r="AY458" s="1"/>
    </row>
    <row r="459" spans="1:51" ht="15.75" customHeight="1" x14ac:dyDescent="0.2">
      <c r="A459" s="245"/>
      <c r="B459" s="244"/>
      <c r="C459" s="245"/>
      <c r="D459" s="1"/>
      <c r="E459" s="290"/>
      <c r="F459" s="1"/>
      <c r="L459" s="246"/>
      <c r="W459" s="1"/>
      <c r="Y459" s="1"/>
      <c r="AA459" s="1"/>
      <c r="AC459" s="1"/>
      <c r="AE459" s="1"/>
      <c r="AG459" s="1"/>
      <c r="AI459" s="1"/>
      <c r="AK459" s="1"/>
      <c r="AO459" s="1"/>
      <c r="AP459" s="1"/>
      <c r="AQ459" s="1"/>
      <c r="AR459" s="1"/>
      <c r="AT459" s="1"/>
      <c r="AU459" s="1"/>
      <c r="AV459" s="1"/>
      <c r="AW459" s="1"/>
      <c r="AX459" s="1"/>
      <c r="AY459" s="1"/>
    </row>
    <row r="460" spans="1:51" ht="15.75" customHeight="1" x14ac:dyDescent="0.2">
      <c r="A460" s="245"/>
      <c r="B460" s="244"/>
      <c r="C460" s="245"/>
      <c r="D460" s="1"/>
      <c r="E460" s="290"/>
      <c r="F460" s="1"/>
      <c r="L460" s="246"/>
      <c r="W460" s="1"/>
      <c r="Y460" s="1"/>
      <c r="AA460" s="1"/>
      <c r="AC460" s="1"/>
      <c r="AE460" s="1"/>
      <c r="AG460" s="1"/>
      <c r="AI460" s="1"/>
      <c r="AK460" s="1"/>
      <c r="AO460" s="1"/>
      <c r="AP460" s="1"/>
      <c r="AQ460" s="1"/>
      <c r="AR460" s="1"/>
      <c r="AT460" s="1"/>
      <c r="AU460" s="1"/>
      <c r="AV460" s="1"/>
      <c r="AW460" s="1"/>
      <c r="AX460" s="1"/>
      <c r="AY460" s="1"/>
    </row>
    <row r="461" spans="1:51" ht="15.75" customHeight="1" x14ac:dyDescent="0.2">
      <c r="A461" s="245"/>
      <c r="B461" s="244"/>
      <c r="C461" s="245"/>
      <c r="D461" s="1"/>
      <c r="E461" s="290"/>
      <c r="F461" s="1"/>
      <c r="L461" s="246"/>
      <c r="W461" s="1"/>
      <c r="Y461" s="1"/>
      <c r="AA461" s="1"/>
      <c r="AC461" s="1"/>
      <c r="AE461" s="1"/>
      <c r="AG461" s="1"/>
      <c r="AI461" s="1"/>
      <c r="AK461" s="1"/>
      <c r="AO461" s="1"/>
      <c r="AP461" s="1"/>
      <c r="AQ461" s="1"/>
      <c r="AR461" s="1"/>
      <c r="AT461" s="1"/>
      <c r="AU461" s="1"/>
      <c r="AV461" s="1"/>
      <c r="AW461" s="1"/>
      <c r="AX461" s="1"/>
      <c r="AY461" s="1"/>
    </row>
    <row r="462" spans="1:51" ht="15.75" customHeight="1" x14ac:dyDescent="0.2">
      <c r="A462" s="245"/>
      <c r="B462" s="244"/>
      <c r="C462" s="245"/>
      <c r="D462" s="1"/>
      <c r="E462" s="290"/>
      <c r="F462" s="1"/>
      <c r="L462" s="246"/>
      <c r="W462" s="1"/>
      <c r="Y462" s="1"/>
      <c r="AA462" s="1"/>
      <c r="AC462" s="1"/>
      <c r="AE462" s="1"/>
      <c r="AG462" s="1"/>
      <c r="AI462" s="1"/>
      <c r="AK462" s="1"/>
      <c r="AO462" s="1"/>
      <c r="AP462" s="1"/>
      <c r="AQ462" s="1"/>
      <c r="AR462" s="1"/>
      <c r="AT462" s="1"/>
      <c r="AU462" s="1"/>
      <c r="AV462" s="1"/>
      <c r="AW462" s="1"/>
      <c r="AX462" s="1"/>
      <c r="AY462" s="1"/>
    </row>
    <row r="463" spans="1:51" ht="15.75" customHeight="1" x14ac:dyDescent="0.2">
      <c r="A463" s="245"/>
      <c r="B463" s="244"/>
      <c r="C463" s="245"/>
      <c r="D463" s="1"/>
      <c r="E463" s="290"/>
      <c r="F463" s="1"/>
      <c r="L463" s="246"/>
      <c r="W463" s="1"/>
      <c r="Y463" s="1"/>
      <c r="AA463" s="1"/>
      <c r="AC463" s="1"/>
      <c r="AE463" s="1"/>
      <c r="AG463" s="1"/>
      <c r="AI463" s="1"/>
      <c r="AK463" s="1"/>
      <c r="AO463" s="1"/>
      <c r="AP463" s="1"/>
      <c r="AQ463" s="1"/>
      <c r="AR463" s="1"/>
      <c r="AT463" s="1"/>
      <c r="AU463" s="1"/>
      <c r="AV463" s="1"/>
      <c r="AW463" s="1"/>
      <c r="AX463" s="1"/>
      <c r="AY463" s="1"/>
    </row>
    <row r="464" spans="1:51" ht="15.75" customHeight="1" x14ac:dyDescent="0.2">
      <c r="A464" s="245"/>
      <c r="B464" s="244"/>
      <c r="C464" s="245"/>
      <c r="D464" s="1"/>
      <c r="E464" s="290"/>
      <c r="F464" s="1"/>
      <c r="L464" s="246"/>
      <c r="W464" s="1"/>
      <c r="Y464" s="1"/>
      <c r="AA464" s="1"/>
      <c r="AC464" s="1"/>
      <c r="AE464" s="1"/>
      <c r="AG464" s="1"/>
      <c r="AI464" s="1"/>
      <c r="AK464" s="1"/>
      <c r="AO464" s="1"/>
      <c r="AP464" s="1"/>
      <c r="AQ464" s="1"/>
      <c r="AR464" s="1"/>
      <c r="AT464" s="1"/>
      <c r="AU464" s="1"/>
      <c r="AV464" s="1"/>
      <c r="AW464" s="1"/>
      <c r="AX464" s="1"/>
      <c r="AY464" s="1"/>
    </row>
    <row r="465" spans="1:51" ht="15.75" customHeight="1" x14ac:dyDescent="0.2">
      <c r="A465" s="245"/>
      <c r="B465" s="244"/>
      <c r="C465" s="245"/>
      <c r="D465" s="1"/>
      <c r="E465" s="290"/>
      <c r="F465" s="1"/>
      <c r="L465" s="246"/>
      <c r="W465" s="1"/>
      <c r="Y465" s="1"/>
      <c r="AA465" s="1"/>
      <c r="AC465" s="1"/>
      <c r="AE465" s="1"/>
      <c r="AG465" s="1"/>
      <c r="AI465" s="1"/>
      <c r="AK465" s="1"/>
      <c r="AO465" s="1"/>
      <c r="AP465" s="1"/>
      <c r="AQ465" s="1"/>
      <c r="AR465" s="1"/>
      <c r="AT465" s="1"/>
      <c r="AU465" s="1"/>
      <c r="AV465" s="1"/>
      <c r="AW465" s="1"/>
      <c r="AX465" s="1"/>
      <c r="AY465" s="1"/>
    </row>
    <row r="466" spans="1:51" ht="15.75" customHeight="1" x14ac:dyDescent="0.2">
      <c r="A466" s="245"/>
      <c r="B466" s="244"/>
      <c r="C466" s="245"/>
      <c r="D466" s="1"/>
      <c r="E466" s="290"/>
      <c r="F466" s="1"/>
      <c r="L466" s="246"/>
      <c r="W466" s="1"/>
      <c r="Y466" s="1"/>
      <c r="AA466" s="1"/>
      <c r="AC466" s="1"/>
      <c r="AE466" s="1"/>
      <c r="AG466" s="1"/>
      <c r="AI466" s="1"/>
      <c r="AK466" s="1"/>
      <c r="AO466" s="1"/>
      <c r="AP466" s="1"/>
      <c r="AQ466" s="1"/>
      <c r="AR466" s="1"/>
      <c r="AT466" s="1"/>
      <c r="AU466" s="1"/>
      <c r="AV466" s="1"/>
      <c r="AW466" s="1"/>
      <c r="AX466" s="1"/>
      <c r="AY466" s="1"/>
    </row>
    <row r="467" spans="1:51" ht="15.75" customHeight="1" x14ac:dyDescent="0.2">
      <c r="A467" s="245"/>
      <c r="B467" s="244"/>
      <c r="C467" s="245"/>
      <c r="D467" s="1"/>
      <c r="E467" s="290"/>
      <c r="F467" s="1"/>
      <c r="L467" s="246"/>
      <c r="W467" s="1"/>
      <c r="Y467" s="1"/>
      <c r="AA467" s="1"/>
      <c r="AC467" s="1"/>
      <c r="AE467" s="1"/>
      <c r="AG467" s="1"/>
      <c r="AI467" s="1"/>
      <c r="AK467" s="1"/>
      <c r="AO467" s="1"/>
      <c r="AP467" s="1"/>
      <c r="AQ467" s="1"/>
      <c r="AR467" s="1"/>
      <c r="AT467" s="1"/>
      <c r="AU467" s="1"/>
      <c r="AV467" s="1"/>
      <c r="AW467" s="1"/>
      <c r="AX467" s="1"/>
      <c r="AY467" s="1"/>
    </row>
    <row r="468" spans="1:51" ht="15.75" customHeight="1" x14ac:dyDescent="0.2">
      <c r="A468" s="245"/>
      <c r="B468" s="244"/>
      <c r="C468" s="245"/>
      <c r="D468" s="1"/>
      <c r="E468" s="290"/>
      <c r="F468" s="1"/>
      <c r="L468" s="246"/>
      <c r="W468" s="1"/>
      <c r="Y468" s="1"/>
      <c r="AA468" s="1"/>
      <c r="AC468" s="1"/>
      <c r="AE468" s="1"/>
      <c r="AG468" s="1"/>
      <c r="AI468" s="1"/>
      <c r="AK468" s="1"/>
      <c r="AO468" s="1"/>
      <c r="AP468" s="1"/>
      <c r="AQ468" s="1"/>
      <c r="AR468" s="1"/>
      <c r="AT468" s="1"/>
      <c r="AU468" s="1"/>
      <c r="AV468" s="1"/>
      <c r="AW468" s="1"/>
      <c r="AX468" s="1"/>
      <c r="AY468" s="1"/>
    </row>
    <row r="469" spans="1:51" ht="15.75" customHeight="1" x14ac:dyDescent="0.2">
      <c r="A469" s="245"/>
      <c r="B469" s="244"/>
      <c r="C469" s="245"/>
      <c r="D469" s="1"/>
      <c r="E469" s="290"/>
      <c r="F469" s="1"/>
      <c r="L469" s="246"/>
      <c r="W469" s="1"/>
      <c r="Y469" s="1"/>
      <c r="AA469" s="1"/>
      <c r="AC469" s="1"/>
      <c r="AE469" s="1"/>
      <c r="AG469" s="1"/>
      <c r="AI469" s="1"/>
      <c r="AK469" s="1"/>
      <c r="AO469" s="1"/>
      <c r="AP469" s="1"/>
      <c r="AQ469" s="1"/>
      <c r="AR469" s="1"/>
      <c r="AT469" s="1"/>
      <c r="AU469" s="1"/>
      <c r="AV469" s="1"/>
      <c r="AW469" s="1"/>
      <c r="AX469" s="1"/>
      <c r="AY469" s="1"/>
    </row>
    <row r="470" spans="1:51" ht="15.75" customHeight="1" x14ac:dyDescent="0.2">
      <c r="A470" s="245"/>
      <c r="B470" s="244"/>
      <c r="C470" s="245"/>
      <c r="D470" s="1"/>
      <c r="E470" s="290"/>
      <c r="F470" s="1"/>
      <c r="L470" s="246"/>
      <c r="W470" s="1"/>
      <c r="Y470" s="1"/>
      <c r="AA470" s="1"/>
      <c r="AC470" s="1"/>
      <c r="AE470" s="1"/>
      <c r="AG470" s="1"/>
      <c r="AI470" s="1"/>
      <c r="AK470" s="1"/>
      <c r="AO470" s="1"/>
      <c r="AP470" s="1"/>
      <c r="AQ470" s="1"/>
      <c r="AR470" s="1"/>
      <c r="AT470" s="1"/>
      <c r="AU470" s="1"/>
      <c r="AV470" s="1"/>
      <c r="AW470" s="1"/>
      <c r="AX470" s="1"/>
      <c r="AY470" s="1"/>
    </row>
    <row r="471" spans="1:51" ht="15.75" customHeight="1" x14ac:dyDescent="0.2">
      <c r="A471" s="245"/>
      <c r="B471" s="244"/>
      <c r="C471" s="245"/>
      <c r="D471" s="1"/>
      <c r="E471" s="290"/>
      <c r="F471" s="1"/>
      <c r="L471" s="246"/>
      <c r="W471" s="1"/>
      <c r="Y471" s="1"/>
      <c r="AA471" s="1"/>
      <c r="AC471" s="1"/>
      <c r="AE471" s="1"/>
      <c r="AG471" s="1"/>
      <c r="AI471" s="1"/>
      <c r="AK471" s="1"/>
      <c r="AO471" s="1"/>
      <c r="AP471" s="1"/>
      <c r="AQ471" s="1"/>
      <c r="AR471" s="1"/>
      <c r="AT471" s="1"/>
      <c r="AU471" s="1"/>
      <c r="AV471" s="1"/>
      <c r="AW471" s="1"/>
      <c r="AX471" s="1"/>
      <c r="AY471" s="1"/>
    </row>
    <row r="472" spans="1:51" ht="15.75" customHeight="1" x14ac:dyDescent="0.2">
      <c r="A472" s="245"/>
      <c r="B472" s="244"/>
      <c r="C472" s="245"/>
      <c r="D472" s="1"/>
      <c r="E472" s="290"/>
      <c r="F472" s="1"/>
      <c r="L472" s="246"/>
      <c r="W472" s="1"/>
      <c r="Y472" s="1"/>
      <c r="AA472" s="1"/>
      <c r="AC472" s="1"/>
      <c r="AE472" s="1"/>
      <c r="AG472" s="1"/>
      <c r="AI472" s="1"/>
      <c r="AK472" s="1"/>
      <c r="AO472" s="1"/>
      <c r="AP472" s="1"/>
      <c r="AQ472" s="1"/>
      <c r="AR472" s="1"/>
      <c r="AT472" s="1"/>
      <c r="AU472" s="1"/>
      <c r="AV472" s="1"/>
      <c r="AW472" s="1"/>
      <c r="AX472" s="1"/>
      <c r="AY472" s="1"/>
    </row>
    <row r="473" spans="1:51" ht="15.75" customHeight="1" x14ac:dyDescent="0.2">
      <c r="A473" s="245"/>
      <c r="B473" s="244"/>
      <c r="C473" s="245"/>
      <c r="D473" s="1"/>
      <c r="E473" s="290"/>
      <c r="F473" s="1"/>
      <c r="L473" s="246"/>
      <c r="W473" s="1"/>
      <c r="Y473" s="1"/>
      <c r="AA473" s="1"/>
      <c r="AC473" s="1"/>
      <c r="AE473" s="1"/>
      <c r="AG473" s="1"/>
      <c r="AI473" s="1"/>
      <c r="AK473" s="1"/>
      <c r="AO473" s="1"/>
      <c r="AP473" s="1"/>
      <c r="AQ473" s="1"/>
      <c r="AR473" s="1"/>
      <c r="AT473" s="1"/>
      <c r="AU473" s="1"/>
      <c r="AV473" s="1"/>
      <c r="AW473" s="1"/>
      <c r="AX473" s="1"/>
      <c r="AY473" s="1"/>
    </row>
    <row r="474" spans="1:51" ht="15.75" customHeight="1" x14ac:dyDescent="0.2">
      <c r="A474" s="245"/>
      <c r="B474" s="244"/>
      <c r="C474" s="245"/>
      <c r="D474" s="1"/>
      <c r="E474" s="290"/>
      <c r="F474" s="1"/>
      <c r="L474" s="246"/>
      <c r="W474" s="1"/>
      <c r="Y474" s="1"/>
      <c r="AA474" s="1"/>
      <c r="AC474" s="1"/>
      <c r="AE474" s="1"/>
      <c r="AG474" s="1"/>
      <c r="AI474" s="1"/>
      <c r="AK474" s="1"/>
      <c r="AO474" s="1"/>
      <c r="AP474" s="1"/>
      <c r="AQ474" s="1"/>
      <c r="AR474" s="1"/>
      <c r="AT474" s="1"/>
      <c r="AU474" s="1"/>
      <c r="AV474" s="1"/>
      <c r="AW474" s="1"/>
      <c r="AX474" s="1"/>
      <c r="AY474" s="1"/>
    </row>
    <row r="475" spans="1:51" ht="15.75" customHeight="1" x14ac:dyDescent="0.2">
      <c r="A475" s="245"/>
      <c r="B475" s="244"/>
      <c r="C475" s="245"/>
      <c r="D475" s="1"/>
      <c r="E475" s="290"/>
      <c r="F475" s="1"/>
      <c r="L475" s="246"/>
      <c r="W475" s="1"/>
      <c r="Y475" s="1"/>
      <c r="AA475" s="1"/>
      <c r="AC475" s="1"/>
      <c r="AE475" s="1"/>
      <c r="AG475" s="1"/>
      <c r="AI475" s="1"/>
      <c r="AK475" s="1"/>
      <c r="AO475" s="1"/>
      <c r="AP475" s="1"/>
      <c r="AQ475" s="1"/>
      <c r="AR475" s="1"/>
      <c r="AT475" s="1"/>
      <c r="AU475" s="1"/>
      <c r="AV475" s="1"/>
      <c r="AW475" s="1"/>
      <c r="AX475" s="1"/>
      <c r="AY475" s="1"/>
    </row>
    <row r="476" spans="1:51" ht="15.75" customHeight="1" x14ac:dyDescent="0.2">
      <c r="A476" s="245"/>
      <c r="B476" s="244"/>
      <c r="C476" s="245"/>
      <c r="D476" s="1"/>
      <c r="E476" s="290"/>
      <c r="F476" s="1"/>
      <c r="L476" s="246"/>
      <c r="W476" s="1"/>
      <c r="Y476" s="1"/>
      <c r="AA476" s="1"/>
      <c r="AC476" s="1"/>
      <c r="AE476" s="1"/>
      <c r="AG476" s="1"/>
      <c r="AI476" s="1"/>
      <c r="AK476" s="1"/>
      <c r="AO476" s="1"/>
      <c r="AP476" s="1"/>
      <c r="AQ476" s="1"/>
      <c r="AR476" s="1"/>
      <c r="AT476" s="1"/>
      <c r="AU476" s="1"/>
      <c r="AV476" s="1"/>
      <c r="AW476" s="1"/>
      <c r="AX476" s="1"/>
      <c r="AY476" s="1"/>
    </row>
    <row r="477" spans="1:51" ht="15.75" customHeight="1" x14ac:dyDescent="0.2">
      <c r="A477" s="245"/>
      <c r="B477" s="244"/>
      <c r="C477" s="245"/>
      <c r="D477" s="1"/>
      <c r="E477" s="290"/>
      <c r="F477" s="1"/>
      <c r="L477" s="246"/>
      <c r="W477" s="1"/>
      <c r="Y477" s="1"/>
      <c r="AA477" s="1"/>
      <c r="AC477" s="1"/>
      <c r="AE477" s="1"/>
      <c r="AG477" s="1"/>
      <c r="AI477" s="1"/>
      <c r="AK477" s="1"/>
      <c r="AO477" s="1"/>
      <c r="AP477" s="1"/>
      <c r="AQ477" s="1"/>
      <c r="AR477" s="1"/>
      <c r="AT477" s="1"/>
      <c r="AU477" s="1"/>
      <c r="AV477" s="1"/>
      <c r="AW477" s="1"/>
      <c r="AX477" s="1"/>
      <c r="AY477" s="1"/>
    </row>
    <row r="478" spans="1:51" ht="15.75" customHeight="1" x14ac:dyDescent="0.2">
      <c r="A478" s="245"/>
      <c r="B478" s="244"/>
      <c r="C478" s="245"/>
      <c r="D478" s="1"/>
      <c r="E478" s="290"/>
      <c r="F478" s="1"/>
      <c r="L478" s="246"/>
      <c r="W478" s="1"/>
      <c r="Y478" s="1"/>
      <c r="AA478" s="1"/>
      <c r="AC478" s="1"/>
      <c r="AE478" s="1"/>
      <c r="AG478" s="1"/>
      <c r="AI478" s="1"/>
      <c r="AK478" s="1"/>
      <c r="AO478" s="1"/>
      <c r="AP478" s="1"/>
      <c r="AQ478" s="1"/>
      <c r="AR478" s="1"/>
      <c r="AT478" s="1"/>
      <c r="AU478" s="1"/>
      <c r="AV478" s="1"/>
      <c r="AW478" s="1"/>
      <c r="AX478" s="1"/>
      <c r="AY478" s="1"/>
    </row>
    <row r="479" spans="1:51" ht="15.75" customHeight="1" x14ac:dyDescent="0.2">
      <c r="A479" s="245"/>
      <c r="B479" s="244"/>
      <c r="C479" s="245"/>
      <c r="D479" s="1"/>
      <c r="E479" s="290"/>
      <c r="F479" s="1"/>
      <c r="L479" s="246"/>
      <c r="W479" s="1"/>
      <c r="Y479" s="1"/>
      <c r="AA479" s="1"/>
      <c r="AC479" s="1"/>
      <c r="AE479" s="1"/>
      <c r="AG479" s="1"/>
      <c r="AI479" s="1"/>
      <c r="AK479" s="1"/>
      <c r="AO479" s="1"/>
      <c r="AP479" s="1"/>
      <c r="AQ479" s="1"/>
      <c r="AR479" s="1"/>
      <c r="AT479" s="1"/>
      <c r="AU479" s="1"/>
      <c r="AV479" s="1"/>
      <c r="AW479" s="1"/>
      <c r="AX479" s="1"/>
      <c r="AY479" s="1"/>
    </row>
    <row r="480" spans="1:51" ht="15.75" customHeight="1" x14ac:dyDescent="0.2">
      <c r="A480" s="245"/>
      <c r="B480" s="244"/>
      <c r="C480" s="245"/>
      <c r="D480" s="1"/>
      <c r="E480" s="290"/>
      <c r="F480" s="1"/>
      <c r="L480" s="246"/>
      <c r="W480" s="1"/>
      <c r="Y480" s="1"/>
      <c r="AA480" s="1"/>
      <c r="AC480" s="1"/>
      <c r="AE480" s="1"/>
      <c r="AG480" s="1"/>
      <c r="AI480" s="1"/>
      <c r="AK480" s="1"/>
      <c r="AO480" s="1"/>
      <c r="AP480" s="1"/>
      <c r="AQ480" s="1"/>
      <c r="AR480" s="1"/>
      <c r="AT480" s="1"/>
      <c r="AU480" s="1"/>
      <c r="AV480" s="1"/>
      <c r="AW480" s="1"/>
      <c r="AX480" s="1"/>
      <c r="AY480" s="1"/>
    </row>
    <row r="481" spans="1:51" ht="15.75" customHeight="1" x14ac:dyDescent="0.2">
      <c r="A481" s="245"/>
      <c r="B481" s="244"/>
      <c r="C481" s="245"/>
      <c r="D481" s="1"/>
      <c r="E481" s="290"/>
      <c r="F481" s="1"/>
      <c r="L481" s="246"/>
      <c r="W481" s="1"/>
      <c r="Y481" s="1"/>
      <c r="AA481" s="1"/>
      <c r="AC481" s="1"/>
      <c r="AE481" s="1"/>
      <c r="AG481" s="1"/>
      <c r="AI481" s="1"/>
      <c r="AK481" s="1"/>
      <c r="AO481" s="1"/>
      <c r="AP481" s="1"/>
      <c r="AQ481" s="1"/>
      <c r="AR481" s="1"/>
      <c r="AT481" s="1"/>
      <c r="AU481" s="1"/>
      <c r="AV481" s="1"/>
      <c r="AW481" s="1"/>
      <c r="AX481" s="1"/>
      <c r="AY481" s="1"/>
    </row>
    <row r="482" spans="1:51" ht="15.75" customHeight="1" x14ac:dyDescent="0.2">
      <c r="A482" s="245"/>
      <c r="B482" s="244"/>
      <c r="C482" s="245"/>
      <c r="D482" s="1"/>
      <c r="E482" s="290"/>
      <c r="F482" s="1"/>
      <c r="L482" s="246"/>
      <c r="W482" s="1"/>
      <c r="Y482" s="1"/>
      <c r="AA482" s="1"/>
      <c r="AC482" s="1"/>
      <c r="AE482" s="1"/>
      <c r="AG482" s="1"/>
      <c r="AI482" s="1"/>
      <c r="AK482" s="1"/>
      <c r="AO482" s="1"/>
      <c r="AP482" s="1"/>
      <c r="AQ482" s="1"/>
      <c r="AR482" s="1"/>
      <c r="AT482" s="1"/>
      <c r="AU482" s="1"/>
      <c r="AV482" s="1"/>
      <c r="AW482" s="1"/>
      <c r="AX482" s="1"/>
      <c r="AY482" s="1"/>
    </row>
    <row r="483" spans="1:51" ht="15.75" customHeight="1" x14ac:dyDescent="0.2">
      <c r="A483" s="245"/>
      <c r="B483" s="244"/>
      <c r="C483" s="245"/>
      <c r="D483" s="1"/>
      <c r="E483" s="290"/>
      <c r="F483" s="1"/>
      <c r="L483" s="246"/>
      <c r="W483" s="1"/>
      <c r="Y483" s="1"/>
      <c r="AA483" s="1"/>
      <c r="AC483" s="1"/>
      <c r="AE483" s="1"/>
      <c r="AG483" s="1"/>
      <c r="AI483" s="1"/>
      <c r="AK483" s="1"/>
      <c r="AO483" s="1"/>
      <c r="AP483" s="1"/>
      <c r="AQ483" s="1"/>
      <c r="AR483" s="1"/>
      <c r="AT483" s="1"/>
      <c r="AU483" s="1"/>
      <c r="AV483" s="1"/>
      <c r="AW483" s="1"/>
      <c r="AX483" s="1"/>
      <c r="AY483" s="1"/>
    </row>
    <row r="484" spans="1:51" ht="15.75" customHeight="1" x14ac:dyDescent="0.2">
      <c r="A484" s="245"/>
      <c r="B484" s="244"/>
      <c r="C484" s="245"/>
      <c r="D484" s="1"/>
      <c r="E484" s="290"/>
      <c r="F484" s="1"/>
      <c r="L484" s="246"/>
      <c r="W484" s="1"/>
      <c r="Y484" s="1"/>
      <c r="AA484" s="1"/>
      <c r="AC484" s="1"/>
      <c r="AE484" s="1"/>
      <c r="AG484" s="1"/>
      <c r="AI484" s="1"/>
      <c r="AK484" s="1"/>
      <c r="AO484" s="1"/>
      <c r="AP484" s="1"/>
      <c r="AQ484" s="1"/>
      <c r="AR484" s="1"/>
      <c r="AT484" s="1"/>
      <c r="AU484" s="1"/>
      <c r="AV484" s="1"/>
      <c r="AW484" s="1"/>
      <c r="AX484" s="1"/>
      <c r="AY484" s="1"/>
    </row>
    <row r="485" spans="1:51" ht="15.75" customHeight="1" x14ac:dyDescent="0.2">
      <c r="A485" s="245"/>
      <c r="B485" s="244"/>
      <c r="C485" s="245"/>
      <c r="D485" s="1"/>
      <c r="E485" s="290"/>
      <c r="F485" s="1"/>
      <c r="L485" s="246"/>
      <c r="W485" s="1"/>
      <c r="Y485" s="1"/>
      <c r="AA485" s="1"/>
      <c r="AC485" s="1"/>
      <c r="AE485" s="1"/>
      <c r="AG485" s="1"/>
      <c r="AI485" s="1"/>
      <c r="AK485" s="1"/>
      <c r="AO485" s="1"/>
      <c r="AP485" s="1"/>
      <c r="AQ485" s="1"/>
      <c r="AR485" s="1"/>
      <c r="AT485" s="1"/>
      <c r="AU485" s="1"/>
      <c r="AV485" s="1"/>
      <c r="AW485" s="1"/>
      <c r="AX485" s="1"/>
      <c r="AY485" s="1"/>
    </row>
    <row r="486" spans="1:51" ht="15.75" customHeight="1" x14ac:dyDescent="0.2">
      <c r="A486" s="245"/>
      <c r="B486" s="244"/>
      <c r="C486" s="245"/>
      <c r="D486" s="1"/>
      <c r="E486" s="290"/>
      <c r="F486" s="1"/>
      <c r="L486" s="246"/>
      <c r="W486" s="1"/>
      <c r="Y486" s="1"/>
      <c r="AA486" s="1"/>
      <c r="AC486" s="1"/>
      <c r="AE486" s="1"/>
      <c r="AG486" s="1"/>
      <c r="AI486" s="1"/>
      <c r="AK486" s="1"/>
      <c r="AO486" s="1"/>
      <c r="AP486" s="1"/>
      <c r="AQ486" s="1"/>
      <c r="AR486" s="1"/>
      <c r="AT486" s="1"/>
      <c r="AU486" s="1"/>
      <c r="AV486" s="1"/>
      <c r="AW486" s="1"/>
      <c r="AX486" s="1"/>
      <c r="AY486" s="1"/>
    </row>
    <row r="487" spans="1:51" ht="15.75" customHeight="1" x14ac:dyDescent="0.2">
      <c r="A487" s="245"/>
      <c r="B487" s="244"/>
      <c r="C487" s="245"/>
      <c r="D487" s="1"/>
      <c r="E487" s="290"/>
      <c r="F487" s="1"/>
      <c r="L487" s="246"/>
      <c r="W487" s="1"/>
      <c r="Y487" s="1"/>
      <c r="AA487" s="1"/>
      <c r="AC487" s="1"/>
      <c r="AE487" s="1"/>
      <c r="AG487" s="1"/>
      <c r="AI487" s="1"/>
      <c r="AK487" s="1"/>
      <c r="AO487" s="1"/>
      <c r="AP487" s="1"/>
      <c r="AQ487" s="1"/>
      <c r="AR487" s="1"/>
      <c r="AT487" s="1"/>
      <c r="AU487" s="1"/>
      <c r="AV487" s="1"/>
      <c r="AW487" s="1"/>
      <c r="AX487" s="1"/>
      <c r="AY487" s="1"/>
    </row>
    <row r="488" spans="1:51" ht="15.75" customHeight="1" x14ac:dyDescent="0.2">
      <c r="A488" s="245"/>
      <c r="B488" s="244"/>
      <c r="C488" s="245"/>
      <c r="D488" s="1"/>
      <c r="E488" s="290"/>
      <c r="F488" s="1"/>
      <c r="L488" s="246"/>
      <c r="W488" s="1"/>
      <c r="Y488" s="1"/>
      <c r="AA488" s="1"/>
      <c r="AC488" s="1"/>
      <c r="AE488" s="1"/>
      <c r="AG488" s="1"/>
      <c r="AI488" s="1"/>
      <c r="AK488" s="1"/>
      <c r="AO488" s="1"/>
      <c r="AP488" s="1"/>
      <c r="AQ488" s="1"/>
      <c r="AR488" s="1"/>
      <c r="AT488" s="1"/>
      <c r="AU488" s="1"/>
      <c r="AV488" s="1"/>
      <c r="AW488" s="1"/>
      <c r="AX488" s="1"/>
      <c r="AY488" s="1"/>
    </row>
    <row r="489" spans="1:51" ht="15.75" customHeight="1" x14ac:dyDescent="0.2">
      <c r="A489" s="245"/>
      <c r="B489" s="244"/>
      <c r="C489" s="245"/>
      <c r="D489" s="1"/>
      <c r="E489" s="290"/>
      <c r="F489" s="1"/>
      <c r="L489" s="246"/>
      <c r="W489" s="1"/>
      <c r="Y489" s="1"/>
      <c r="AA489" s="1"/>
      <c r="AC489" s="1"/>
      <c r="AE489" s="1"/>
      <c r="AG489" s="1"/>
      <c r="AI489" s="1"/>
      <c r="AK489" s="1"/>
      <c r="AO489" s="1"/>
      <c r="AP489" s="1"/>
      <c r="AQ489" s="1"/>
      <c r="AR489" s="1"/>
      <c r="AT489" s="1"/>
      <c r="AU489" s="1"/>
      <c r="AV489" s="1"/>
      <c r="AW489" s="1"/>
      <c r="AX489" s="1"/>
      <c r="AY489" s="1"/>
    </row>
    <row r="490" spans="1:51" ht="15.75" customHeight="1" x14ac:dyDescent="0.2">
      <c r="A490" s="245"/>
      <c r="B490" s="244"/>
      <c r="C490" s="245"/>
      <c r="D490" s="1"/>
      <c r="E490" s="290"/>
      <c r="F490" s="1"/>
      <c r="L490" s="246"/>
      <c r="W490" s="1"/>
      <c r="Y490" s="1"/>
      <c r="AA490" s="1"/>
      <c r="AC490" s="1"/>
      <c r="AE490" s="1"/>
      <c r="AG490" s="1"/>
      <c r="AI490" s="1"/>
      <c r="AK490" s="1"/>
      <c r="AO490" s="1"/>
      <c r="AP490" s="1"/>
      <c r="AQ490" s="1"/>
      <c r="AR490" s="1"/>
      <c r="AT490" s="1"/>
      <c r="AU490" s="1"/>
      <c r="AV490" s="1"/>
      <c r="AW490" s="1"/>
      <c r="AX490" s="1"/>
      <c r="AY490" s="1"/>
    </row>
    <row r="491" spans="1:51" ht="15.75" customHeight="1" x14ac:dyDescent="0.2">
      <c r="A491" s="245"/>
      <c r="B491" s="244"/>
      <c r="C491" s="245"/>
      <c r="D491" s="1"/>
      <c r="E491" s="290"/>
      <c r="F491" s="1"/>
      <c r="L491" s="246"/>
      <c r="W491" s="1"/>
      <c r="Y491" s="1"/>
      <c r="AA491" s="1"/>
      <c r="AC491" s="1"/>
      <c r="AE491" s="1"/>
      <c r="AG491" s="1"/>
      <c r="AI491" s="1"/>
      <c r="AK491" s="1"/>
      <c r="AO491" s="1"/>
      <c r="AP491" s="1"/>
      <c r="AQ491" s="1"/>
      <c r="AR491" s="1"/>
      <c r="AT491" s="1"/>
      <c r="AU491" s="1"/>
      <c r="AV491" s="1"/>
      <c r="AW491" s="1"/>
      <c r="AX491" s="1"/>
      <c r="AY491" s="1"/>
    </row>
    <row r="492" spans="1:51" ht="15.75" customHeight="1" x14ac:dyDescent="0.2">
      <c r="A492" s="245"/>
      <c r="B492" s="244"/>
      <c r="C492" s="245"/>
      <c r="D492" s="1"/>
      <c r="E492" s="290"/>
      <c r="F492" s="1"/>
      <c r="L492" s="246"/>
      <c r="W492" s="1"/>
      <c r="Y492" s="1"/>
      <c r="AA492" s="1"/>
      <c r="AC492" s="1"/>
      <c r="AE492" s="1"/>
      <c r="AG492" s="1"/>
      <c r="AI492" s="1"/>
      <c r="AK492" s="1"/>
      <c r="AO492" s="1"/>
      <c r="AP492" s="1"/>
      <c r="AQ492" s="1"/>
      <c r="AR492" s="1"/>
      <c r="AT492" s="1"/>
      <c r="AU492" s="1"/>
      <c r="AV492" s="1"/>
      <c r="AW492" s="1"/>
      <c r="AX492" s="1"/>
      <c r="AY492" s="1"/>
    </row>
    <row r="493" spans="1:51" ht="15.75" customHeight="1" x14ac:dyDescent="0.2">
      <c r="A493" s="245"/>
      <c r="B493" s="244"/>
      <c r="C493" s="245"/>
      <c r="D493" s="1"/>
      <c r="E493" s="290"/>
      <c r="F493" s="1"/>
      <c r="L493" s="246"/>
      <c r="W493" s="1"/>
      <c r="Y493" s="1"/>
      <c r="AA493" s="1"/>
      <c r="AC493" s="1"/>
      <c r="AE493" s="1"/>
      <c r="AG493" s="1"/>
      <c r="AI493" s="1"/>
      <c r="AK493" s="1"/>
      <c r="AO493" s="1"/>
      <c r="AP493" s="1"/>
      <c r="AQ493" s="1"/>
      <c r="AR493" s="1"/>
      <c r="AT493" s="1"/>
      <c r="AU493" s="1"/>
      <c r="AV493" s="1"/>
      <c r="AW493" s="1"/>
      <c r="AX493" s="1"/>
      <c r="AY493" s="1"/>
    </row>
    <row r="494" spans="1:51" ht="15.75" customHeight="1" x14ac:dyDescent="0.2">
      <c r="A494" s="245"/>
      <c r="B494" s="244"/>
      <c r="C494" s="245"/>
      <c r="D494" s="1"/>
      <c r="E494" s="290"/>
      <c r="F494" s="1"/>
      <c r="L494" s="246"/>
      <c r="W494" s="1"/>
      <c r="Y494" s="1"/>
      <c r="AA494" s="1"/>
      <c r="AC494" s="1"/>
      <c r="AE494" s="1"/>
      <c r="AG494" s="1"/>
      <c r="AI494" s="1"/>
      <c r="AK494" s="1"/>
      <c r="AO494" s="1"/>
      <c r="AP494" s="1"/>
      <c r="AQ494" s="1"/>
      <c r="AR494" s="1"/>
      <c r="AT494" s="1"/>
      <c r="AU494" s="1"/>
      <c r="AV494" s="1"/>
      <c r="AW494" s="1"/>
      <c r="AX494" s="1"/>
      <c r="AY494" s="1"/>
    </row>
    <row r="495" spans="1:51" ht="15.75" customHeight="1" x14ac:dyDescent="0.2">
      <c r="A495" s="245"/>
      <c r="B495" s="244"/>
      <c r="C495" s="245"/>
      <c r="D495" s="1"/>
      <c r="E495" s="290"/>
      <c r="F495" s="1"/>
      <c r="L495" s="246"/>
      <c r="W495" s="1"/>
      <c r="Y495" s="1"/>
      <c r="AA495" s="1"/>
      <c r="AC495" s="1"/>
      <c r="AE495" s="1"/>
      <c r="AG495" s="1"/>
      <c r="AI495" s="1"/>
      <c r="AK495" s="1"/>
      <c r="AO495" s="1"/>
      <c r="AP495" s="1"/>
      <c r="AQ495" s="1"/>
      <c r="AR495" s="1"/>
      <c r="AT495" s="1"/>
      <c r="AU495" s="1"/>
      <c r="AV495" s="1"/>
      <c r="AW495" s="1"/>
      <c r="AX495" s="1"/>
      <c r="AY495" s="1"/>
    </row>
    <row r="496" spans="1:51" ht="15.75" customHeight="1" x14ac:dyDescent="0.2">
      <c r="A496" s="245"/>
      <c r="B496" s="244"/>
      <c r="C496" s="245"/>
      <c r="D496" s="1"/>
      <c r="E496" s="290"/>
      <c r="F496" s="1"/>
      <c r="L496" s="246"/>
      <c r="W496" s="1"/>
      <c r="Y496" s="1"/>
      <c r="AA496" s="1"/>
      <c r="AC496" s="1"/>
      <c r="AE496" s="1"/>
      <c r="AG496" s="1"/>
      <c r="AI496" s="1"/>
      <c r="AK496" s="1"/>
      <c r="AO496" s="1"/>
      <c r="AP496" s="1"/>
      <c r="AQ496" s="1"/>
      <c r="AR496" s="1"/>
      <c r="AT496" s="1"/>
      <c r="AU496" s="1"/>
      <c r="AV496" s="1"/>
      <c r="AW496" s="1"/>
      <c r="AX496" s="1"/>
      <c r="AY496" s="1"/>
    </row>
    <row r="497" spans="1:51" ht="15.75" customHeight="1" x14ac:dyDescent="0.2">
      <c r="A497" s="245"/>
      <c r="B497" s="244"/>
      <c r="C497" s="245"/>
      <c r="D497" s="1"/>
      <c r="E497" s="290"/>
      <c r="F497" s="1"/>
      <c r="L497" s="246"/>
      <c r="W497" s="1"/>
      <c r="Y497" s="1"/>
      <c r="AA497" s="1"/>
      <c r="AC497" s="1"/>
      <c r="AE497" s="1"/>
      <c r="AG497" s="1"/>
      <c r="AI497" s="1"/>
      <c r="AK497" s="1"/>
      <c r="AO497" s="1"/>
      <c r="AP497" s="1"/>
      <c r="AQ497" s="1"/>
      <c r="AR497" s="1"/>
      <c r="AT497" s="1"/>
      <c r="AU497" s="1"/>
      <c r="AV497" s="1"/>
      <c r="AW497" s="1"/>
      <c r="AX497" s="1"/>
      <c r="AY497" s="1"/>
    </row>
    <row r="498" spans="1:51" ht="15.75" customHeight="1" x14ac:dyDescent="0.2">
      <c r="A498" s="245"/>
      <c r="B498" s="244"/>
      <c r="C498" s="245"/>
      <c r="D498" s="1"/>
      <c r="E498" s="290"/>
      <c r="F498" s="1"/>
      <c r="L498" s="246"/>
      <c r="W498" s="1"/>
      <c r="Y498" s="1"/>
      <c r="AA498" s="1"/>
      <c r="AC498" s="1"/>
      <c r="AE498" s="1"/>
      <c r="AG498" s="1"/>
      <c r="AI498" s="1"/>
      <c r="AK498" s="1"/>
      <c r="AO498" s="1"/>
      <c r="AP498" s="1"/>
      <c r="AQ498" s="1"/>
      <c r="AR498" s="1"/>
      <c r="AT498" s="1"/>
      <c r="AU498" s="1"/>
      <c r="AV498" s="1"/>
      <c r="AW498" s="1"/>
      <c r="AX498" s="1"/>
      <c r="AY498" s="1"/>
    </row>
    <row r="499" spans="1:51" ht="15.75" customHeight="1" x14ac:dyDescent="0.2">
      <c r="A499" s="245"/>
      <c r="B499" s="244"/>
      <c r="C499" s="245"/>
      <c r="D499" s="1"/>
      <c r="E499" s="290"/>
      <c r="F499" s="1"/>
      <c r="L499" s="246"/>
      <c r="W499" s="1"/>
      <c r="Y499" s="1"/>
      <c r="AA499" s="1"/>
      <c r="AC499" s="1"/>
      <c r="AE499" s="1"/>
      <c r="AG499" s="1"/>
      <c r="AI499" s="1"/>
      <c r="AK499" s="1"/>
      <c r="AO499" s="1"/>
      <c r="AP499" s="1"/>
      <c r="AQ499" s="1"/>
      <c r="AR499" s="1"/>
      <c r="AT499" s="1"/>
      <c r="AU499" s="1"/>
      <c r="AV499" s="1"/>
      <c r="AW499" s="1"/>
      <c r="AX499" s="1"/>
      <c r="AY499" s="1"/>
    </row>
    <row r="500" spans="1:51" ht="15.75" customHeight="1" x14ac:dyDescent="0.2">
      <c r="A500" s="245"/>
      <c r="B500" s="244"/>
      <c r="C500" s="245"/>
      <c r="D500" s="1"/>
      <c r="E500" s="290"/>
      <c r="F500" s="1"/>
      <c r="L500" s="246"/>
      <c r="W500" s="1"/>
      <c r="Y500" s="1"/>
      <c r="AA500" s="1"/>
      <c r="AC500" s="1"/>
      <c r="AE500" s="1"/>
      <c r="AG500" s="1"/>
      <c r="AI500" s="1"/>
      <c r="AK500" s="1"/>
      <c r="AO500" s="1"/>
      <c r="AP500" s="1"/>
      <c r="AQ500" s="1"/>
      <c r="AR500" s="1"/>
      <c r="AT500" s="1"/>
      <c r="AU500" s="1"/>
      <c r="AV500" s="1"/>
      <c r="AW500" s="1"/>
      <c r="AX500" s="1"/>
      <c r="AY500" s="1"/>
    </row>
    <row r="501" spans="1:51" ht="15.75" customHeight="1" x14ac:dyDescent="0.2">
      <c r="A501" s="245"/>
      <c r="B501" s="244"/>
      <c r="C501" s="245"/>
      <c r="D501" s="1"/>
      <c r="E501" s="290"/>
      <c r="F501" s="1"/>
      <c r="L501" s="246"/>
      <c r="W501" s="1"/>
      <c r="Y501" s="1"/>
      <c r="AA501" s="1"/>
      <c r="AC501" s="1"/>
      <c r="AE501" s="1"/>
      <c r="AG501" s="1"/>
      <c r="AI501" s="1"/>
      <c r="AK501" s="1"/>
      <c r="AO501" s="1"/>
      <c r="AP501" s="1"/>
      <c r="AQ501" s="1"/>
      <c r="AR501" s="1"/>
      <c r="AT501" s="1"/>
      <c r="AU501" s="1"/>
      <c r="AV501" s="1"/>
      <c r="AW501" s="1"/>
      <c r="AX501" s="1"/>
      <c r="AY501" s="1"/>
    </row>
    <row r="502" spans="1:51" ht="15.75" customHeight="1" x14ac:dyDescent="0.2">
      <c r="A502" s="245"/>
      <c r="B502" s="244"/>
      <c r="C502" s="245"/>
      <c r="D502" s="1"/>
      <c r="E502" s="290"/>
      <c r="F502" s="1"/>
      <c r="L502" s="246"/>
      <c r="W502" s="1"/>
      <c r="Y502" s="1"/>
      <c r="AA502" s="1"/>
      <c r="AC502" s="1"/>
      <c r="AE502" s="1"/>
      <c r="AG502" s="1"/>
      <c r="AI502" s="1"/>
      <c r="AK502" s="1"/>
      <c r="AO502" s="1"/>
      <c r="AP502" s="1"/>
      <c r="AQ502" s="1"/>
      <c r="AR502" s="1"/>
      <c r="AT502" s="1"/>
      <c r="AU502" s="1"/>
      <c r="AV502" s="1"/>
      <c r="AW502" s="1"/>
      <c r="AX502" s="1"/>
      <c r="AY502" s="1"/>
    </row>
    <row r="503" spans="1:51" ht="15.75" customHeight="1" x14ac:dyDescent="0.2">
      <c r="A503" s="245"/>
      <c r="B503" s="244"/>
      <c r="C503" s="245"/>
      <c r="D503" s="1"/>
      <c r="E503" s="290"/>
      <c r="F503" s="1"/>
      <c r="L503" s="246"/>
      <c r="W503" s="1"/>
      <c r="Y503" s="1"/>
      <c r="AA503" s="1"/>
      <c r="AC503" s="1"/>
      <c r="AE503" s="1"/>
      <c r="AG503" s="1"/>
      <c r="AI503" s="1"/>
      <c r="AK503" s="1"/>
      <c r="AO503" s="1"/>
      <c r="AP503" s="1"/>
      <c r="AQ503" s="1"/>
      <c r="AR503" s="1"/>
      <c r="AT503" s="1"/>
      <c r="AU503" s="1"/>
      <c r="AV503" s="1"/>
      <c r="AW503" s="1"/>
      <c r="AX503" s="1"/>
      <c r="AY503" s="1"/>
    </row>
    <row r="504" spans="1:51" ht="15.75" customHeight="1" x14ac:dyDescent="0.2">
      <c r="A504" s="245"/>
      <c r="B504" s="244"/>
      <c r="C504" s="245"/>
      <c r="D504" s="1"/>
      <c r="E504" s="290"/>
      <c r="F504" s="1"/>
      <c r="L504" s="246"/>
      <c r="W504" s="1"/>
      <c r="Y504" s="1"/>
      <c r="AA504" s="1"/>
      <c r="AC504" s="1"/>
      <c r="AE504" s="1"/>
      <c r="AG504" s="1"/>
      <c r="AI504" s="1"/>
      <c r="AK504" s="1"/>
      <c r="AO504" s="1"/>
      <c r="AP504" s="1"/>
      <c r="AQ504" s="1"/>
      <c r="AR504" s="1"/>
      <c r="AT504" s="1"/>
      <c r="AU504" s="1"/>
      <c r="AV504" s="1"/>
      <c r="AW504" s="1"/>
      <c r="AX504" s="1"/>
      <c r="AY504" s="1"/>
    </row>
    <row r="505" spans="1:51" ht="15.75" customHeight="1" x14ac:dyDescent="0.2">
      <c r="A505" s="245"/>
      <c r="B505" s="244"/>
      <c r="C505" s="245"/>
      <c r="D505" s="1"/>
      <c r="E505" s="290"/>
      <c r="F505" s="1"/>
      <c r="L505" s="246"/>
      <c r="W505" s="1"/>
      <c r="Y505" s="1"/>
      <c r="AA505" s="1"/>
      <c r="AC505" s="1"/>
      <c r="AE505" s="1"/>
      <c r="AG505" s="1"/>
      <c r="AI505" s="1"/>
      <c r="AK505" s="1"/>
      <c r="AO505" s="1"/>
      <c r="AP505" s="1"/>
      <c r="AQ505" s="1"/>
      <c r="AR505" s="1"/>
      <c r="AT505" s="1"/>
      <c r="AU505" s="1"/>
      <c r="AV505" s="1"/>
      <c r="AW505" s="1"/>
      <c r="AX505" s="1"/>
      <c r="AY505" s="1"/>
    </row>
    <row r="506" spans="1:51" ht="15.75" customHeight="1" x14ac:dyDescent="0.2">
      <c r="A506" s="245"/>
      <c r="B506" s="244"/>
      <c r="C506" s="245"/>
      <c r="D506" s="1"/>
      <c r="E506" s="290"/>
      <c r="F506" s="1"/>
      <c r="L506" s="246"/>
      <c r="W506" s="1"/>
      <c r="Y506" s="1"/>
      <c r="AA506" s="1"/>
      <c r="AC506" s="1"/>
      <c r="AE506" s="1"/>
      <c r="AG506" s="1"/>
      <c r="AI506" s="1"/>
      <c r="AK506" s="1"/>
      <c r="AO506" s="1"/>
      <c r="AP506" s="1"/>
      <c r="AQ506" s="1"/>
      <c r="AR506" s="1"/>
      <c r="AT506" s="1"/>
      <c r="AU506" s="1"/>
      <c r="AV506" s="1"/>
      <c r="AW506" s="1"/>
      <c r="AX506" s="1"/>
      <c r="AY506" s="1"/>
    </row>
    <row r="507" spans="1:51" ht="15.75" customHeight="1" x14ac:dyDescent="0.2">
      <c r="A507" s="245"/>
      <c r="B507" s="244"/>
      <c r="C507" s="245"/>
      <c r="D507" s="1"/>
      <c r="E507" s="290"/>
      <c r="F507" s="1"/>
      <c r="L507" s="246"/>
      <c r="W507" s="1"/>
      <c r="Y507" s="1"/>
      <c r="AA507" s="1"/>
      <c r="AC507" s="1"/>
      <c r="AE507" s="1"/>
      <c r="AG507" s="1"/>
      <c r="AI507" s="1"/>
      <c r="AK507" s="1"/>
      <c r="AO507" s="1"/>
      <c r="AP507" s="1"/>
      <c r="AQ507" s="1"/>
      <c r="AR507" s="1"/>
      <c r="AT507" s="1"/>
      <c r="AU507" s="1"/>
      <c r="AV507" s="1"/>
      <c r="AW507" s="1"/>
      <c r="AX507" s="1"/>
      <c r="AY507" s="1"/>
    </row>
    <row r="508" spans="1:51" ht="15.75" customHeight="1" x14ac:dyDescent="0.2">
      <c r="A508" s="245"/>
      <c r="B508" s="244"/>
      <c r="C508" s="245"/>
      <c r="D508" s="1"/>
      <c r="E508" s="290"/>
      <c r="F508" s="1"/>
      <c r="L508" s="246"/>
      <c r="W508" s="1"/>
      <c r="Y508" s="1"/>
      <c r="AA508" s="1"/>
      <c r="AC508" s="1"/>
      <c r="AE508" s="1"/>
      <c r="AG508" s="1"/>
      <c r="AI508" s="1"/>
      <c r="AK508" s="1"/>
      <c r="AO508" s="1"/>
      <c r="AP508" s="1"/>
      <c r="AQ508" s="1"/>
      <c r="AR508" s="1"/>
      <c r="AT508" s="1"/>
      <c r="AU508" s="1"/>
      <c r="AV508" s="1"/>
      <c r="AW508" s="1"/>
      <c r="AX508" s="1"/>
      <c r="AY508" s="1"/>
    </row>
    <row r="509" spans="1:51" ht="15.75" customHeight="1" x14ac:dyDescent="0.2">
      <c r="A509" s="245"/>
      <c r="B509" s="244"/>
      <c r="C509" s="245"/>
      <c r="D509" s="1"/>
      <c r="E509" s="290"/>
      <c r="F509" s="1"/>
      <c r="L509" s="246"/>
      <c r="W509" s="1"/>
      <c r="Y509" s="1"/>
      <c r="AA509" s="1"/>
      <c r="AC509" s="1"/>
      <c r="AE509" s="1"/>
      <c r="AG509" s="1"/>
      <c r="AI509" s="1"/>
      <c r="AK509" s="1"/>
      <c r="AO509" s="1"/>
      <c r="AP509" s="1"/>
      <c r="AQ509" s="1"/>
      <c r="AR509" s="1"/>
      <c r="AT509" s="1"/>
      <c r="AU509" s="1"/>
      <c r="AV509" s="1"/>
      <c r="AW509" s="1"/>
      <c r="AX509" s="1"/>
      <c r="AY509" s="1"/>
    </row>
    <row r="510" spans="1:51" ht="15.75" customHeight="1" x14ac:dyDescent="0.2">
      <c r="A510" s="245"/>
      <c r="B510" s="244"/>
      <c r="C510" s="245"/>
      <c r="D510" s="1"/>
      <c r="E510" s="290"/>
      <c r="F510" s="1"/>
      <c r="L510" s="246"/>
      <c r="W510" s="1"/>
      <c r="Y510" s="1"/>
      <c r="AA510" s="1"/>
      <c r="AC510" s="1"/>
      <c r="AE510" s="1"/>
      <c r="AG510" s="1"/>
      <c r="AI510" s="1"/>
      <c r="AK510" s="1"/>
      <c r="AO510" s="1"/>
      <c r="AP510" s="1"/>
      <c r="AQ510" s="1"/>
      <c r="AR510" s="1"/>
      <c r="AT510" s="1"/>
      <c r="AU510" s="1"/>
      <c r="AV510" s="1"/>
      <c r="AW510" s="1"/>
      <c r="AX510" s="1"/>
      <c r="AY510" s="1"/>
    </row>
    <row r="511" spans="1:51" ht="15.75" customHeight="1" x14ac:dyDescent="0.2">
      <c r="A511" s="245"/>
      <c r="B511" s="244"/>
      <c r="C511" s="245"/>
      <c r="D511" s="1"/>
      <c r="E511" s="290"/>
      <c r="F511" s="1"/>
      <c r="L511" s="246"/>
      <c r="W511" s="1"/>
      <c r="Y511" s="1"/>
      <c r="AA511" s="1"/>
      <c r="AC511" s="1"/>
      <c r="AE511" s="1"/>
      <c r="AG511" s="1"/>
      <c r="AI511" s="1"/>
      <c r="AK511" s="1"/>
      <c r="AO511" s="1"/>
      <c r="AP511" s="1"/>
      <c r="AQ511" s="1"/>
      <c r="AR511" s="1"/>
      <c r="AT511" s="1"/>
      <c r="AU511" s="1"/>
      <c r="AV511" s="1"/>
      <c r="AW511" s="1"/>
      <c r="AX511" s="1"/>
      <c r="AY511" s="1"/>
    </row>
    <row r="512" spans="1:51" ht="15.75" customHeight="1" x14ac:dyDescent="0.2">
      <c r="A512" s="245"/>
      <c r="B512" s="244"/>
      <c r="C512" s="245"/>
      <c r="D512" s="1"/>
      <c r="E512" s="290"/>
      <c r="F512" s="1"/>
      <c r="L512" s="246"/>
      <c r="W512" s="1"/>
      <c r="Y512" s="1"/>
      <c r="AA512" s="1"/>
      <c r="AC512" s="1"/>
      <c r="AE512" s="1"/>
      <c r="AG512" s="1"/>
      <c r="AI512" s="1"/>
      <c r="AK512" s="1"/>
      <c r="AO512" s="1"/>
      <c r="AP512" s="1"/>
      <c r="AQ512" s="1"/>
      <c r="AR512" s="1"/>
      <c r="AT512" s="1"/>
      <c r="AU512" s="1"/>
      <c r="AV512" s="1"/>
      <c r="AW512" s="1"/>
      <c r="AX512" s="1"/>
      <c r="AY512" s="1"/>
    </row>
    <row r="513" spans="1:51" ht="15.75" customHeight="1" x14ac:dyDescent="0.2">
      <c r="A513" s="245"/>
      <c r="B513" s="244"/>
      <c r="C513" s="245"/>
      <c r="D513" s="1"/>
      <c r="E513" s="290"/>
      <c r="F513" s="1"/>
      <c r="L513" s="246"/>
      <c r="W513" s="1"/>
      <c r="Y513" s="1"/>
      <c r="AA513" s="1"/>
      <c r="AC513" s="1"/>
      <c r="AE513" s="1"/>
      <c r="AG513" s="1"/>
      <c r="AI513" s="1"/>
      <c r="AK513" s="1"/>
      <c r="AO513" s="1"/>
      <c r="AP513" s="1"/>
      <c r="AQ513" s="1"/>
      <c r="AR513" s="1"/>
      <c r="AT513" s="1"/>
      <c r="AU513" s="1"/>
      <c r="AV513" s="1"/>
      <c r="AW513" s="1"/>
      <c r="AX513" s="1"/>
      <c r="AY513" s="1"/>
    </row>
    <row r="514" spans="1:51" ht="15.75" customHeight="1" x14ac:dyDescent="0.2">
      <c r="A514" s="245"/>
      <c r="B514" s="244"/>
      <c r="C514" s="245"/>
      <c r="D514" s="1"/>
      <c r="E514" s="290"/>
      <c r="F514" s="1"/>
      <c r="L514" s="246"/>
      <c r="W514" s="1"/>
      <c r="Y514" s="1"/>
      <c r="AA514" s="1"/>
      <c r="AC514" s="1"/>
      <c r="AE514" s="1"/>
      <c r="AG514" s="1"/>
      <c r="AI514" s="1"/>
      <c r="AK514" s="1"/>
      <c r="AO514" s="1"/>
      <c r="AP514" s="1"/>
      <c r="AQ514" s="1"/>
      <c r="AR514" s="1"/>
      <c r="AT514" s="1"/>
      <c r="AU514" s="1"/>
      <c r="AV514" s="1"/>
      <c r="AW514" s="1"/>
      <c r="AX514" s="1"/>
      <c r="AY514" s="1"/>
    </row>
    <row r="515" spans="1:51" ht="15.75" customHeight="1" x14ac:dyDescent="0.2">
      <c r="A515" s="245"/>
      <c r="B515" s="244"/>
      <c r="C515" s="245"/>
      <c r="D515" s="1"/>
      <c r="E515" s="290"/>
      <c r="F515" s="1"/>
      <c r="L515" s="246"/>
      <c r="W515" s="1"/>
      <c r="Y515" s="1"/>
      <c r="AA515" s="1"/>
      <c r="AC515" s="1"/>
      <c r="AE515" s="1"/>
      <c r="AG515" s="1"/>
      <c r="AI515" s="1"/>
      <c r="AK515" s="1"/>
      <c r="AO515" s="1"/>
      <c r="AP515" s="1"/>
      <c r="AQ515" s="1"/>
      <c r="AR515" s="1"/>
      <c r="AT515" s="1"/>
      <c r="AU515" s="1"/>
      <c r="AV515" s="1"/>
      <c r="AW515" s="1"/>
      <c r="AX515" s="1"/>
      <c r="AY515" s="1"/>
    </row>
    <row r="516" spans="1:51" ht="15.75" customHeight="1" x14ac:dyDescent="0.2">
      <c r="A516" s="245"/>
      <c r="B516" s="244"/>
      <c r="C516" s="245"/>
      <c r="D516" s="1"/>
      <c r="E516" s="290"/>
      <c r="F516" s="1"/>
      <c r="L516" s="246"/>
      <c r="W516" s="1"/>
      <c r="Y516" s="1"/>
      <c r="AA516" s="1"/>
      <c r="AC516" s="1"/>
      <c r="AE516" s="1"/>
      <c r="AG516" s="1"/>
      <c r="AI516" s="1"/>
      <c r="AK516" s="1"/>
      <c r="AO516" s="1"/>
      <c r="AP516" s="1"/>
      <c r="AQ516" s="1"/>
      <c r="AR516" s="1"/>
      <c r="AT516" s="1"/>
      <c r="AU516" s="1"/>
      <c r="AV516" s="1"/>
      <c r="AW516" s="1"/>
      <c r="AX516" s="1"/>
      <c r="AY516" s="1"/>
    </row>
    <row r="517" spans="1:51" ht="15.75" customHeight="1" x14ac:dyDescent="0.2">
      <c r="A517" s="245"/>
      <c r="B517" s="244"/>
      <c r="C517" s="245"/>
      <c r="D517" s="1"/>
      <c r="E517" s="290"/>
      <c r="F517" s="1"/>
      <c r="L517" s="246"/>
      <c r="W517" s="1"/>
      <c r="Y517" s="1"/>
      <c r="AA517" s="1"/>
      <c r="AC517" s="1"/>
      <c r="AE517" s="1"/>
      <c r="AG517" s="1"/>
      <c r="AI517" s="1"/>
      <c r="AK517" s="1"/>
      <c r="AO517" s="1"/>
      <c r="AP517" s="1"/>
      <c r="AQ517" s="1"/>
      <c r="AR517" s="1"/>
      <c r="AT517" s="1"/>
      <c r="AU517" s="1"/>
      <c r="AV517" s="1"/>
      <c r="AW517" s="1"/>
      <c r="AX517" s="1"/>
      <c r="AY517" s="1"/>
    </row>
    <row r="518" spans="1:51" ht="15.75" customHeight="1" x14ac:dyDescent="0.2">
      <c r="A518" s="245"/>
      <c r="B518" s="244"/>
      <c r="C518" s="245"/>
      <c r="D518" s="1"/>
      <c r="E518" s="290"/>
      <c r="F518" s="1"/>
      <c r="L518" s="246"/>
      <c r="W518" s="1"/>
      <c r="Y518" s="1"/>
      <c r="AA518" s="1"/>
      <c r="AC518" s="1"/>
      <c r="AE518" s="1"/>
      <c r="AG518" s="1"/>
      <c r="AI518" s="1"/>
      <c r="AK518" s="1"/>
      <c r="AO518" s="1"/>
      <c r="AP518" s="1"/>
      <c r="AQ518" s="1"/>
      <c r="AR518" s="1"/>
      <c r="AT518" s="1"/>
      <c r="AU518" s="1"/>
      <c r="AV518" s="1"/>
      <c r="AW518" s="1"/>
      <c r="AX518" s="1"/>
      <c r="AY518" s="1"/>
    </row>
    <row r="519" spans="1:51" ht="15.75" customHeight="1" x14ac:dyDescent="0.2">
      <c r="A519" s="245"/>
      <c r="B519" s="244"/>
      <c r="C519" s="245"/>
      <c r="D519" s="1"/>
      <c r="E519" s="290"/>
      <c r="F519" s="1"/>
      <c r="L519" s="246"/>
      <c r="W519" s="1"/>
      <c r="Y519" s="1"/>
      <c r="AA519" s="1"/>
      <c r="AC519" s="1"/>
      <c r="AE519" s="1"/>
      <c r="AG519" s="1"/>
      <c r="AI519" s="1"/>
      <c r="AK519" s="1"/>
      <c r="AO519" s="1"/>
      <c r="AP519" s="1"/>
      <c r="AQ519" s="1"/>
      <c r="AR519" s="1"/>
      <c r="AT519" s="1"/>
      <c r="AU519" s="1"/>
      <c r="AV519" s="1"/>
      <c r="AW519" s="1"/>
      <c r="AX519" s="1"/>
      <c r="AY519" s="1"/>
    </row>
    <row r="520" spans="1:51" ht="15.75" customHeight="1" x14ac:dyDescent="0.2">
      <c r="A520" s="245"/>
      <c r="B520" s="244"/>
      <c r="C520" s="245"/>
      <c r="D520" s="1"/>
      <c r="E520" s="290"/>
      <c r="F520" s="1"/>
      <c r="L520" s="246"/>
      <c r="W520" s="1"/>
      <c r="Y520" s="1"/>
      <c r="AA520" s="1"/>
      <c r="AC520" s="1"/>
      <c r="AE520" s="1"/>
      <c r="AG520" s="1"/>
      <c r="AI520" s="1"/>
      <c r="AK520" s="1"/>
      <c r="AO520" s="1"/>
      <c r="AP520" s="1"/>
      <c r="AQ520" s="1"/>
      <c r="AR520" s="1"/>
      <c r="AT520" s="1"/>
      <c r="AU520" s="1"/>
      <c r="AV520" s="1"/>
      <c r="AW520" s="1"/>
      <c r="AX520" s="1"/>
      <c r="AY520" s="1"/>
    </row>
    <row r="521" spans="1:51" ht="15.75" customHeight="1" x14ac:dyDescent="0.2">
      <c r="A521" s="245"/>
      <c r="B521" s="244"/>
      <c r="C521" s="245"/>
      <c r="D521" s="1"/>
      <c r="E521" s="290"/>
      <c r="F521" s="1"/>
      <c r="L521" s="246"/>
      <c r="W521" s="1"/>
      <c r="Y521" s="1"/>
      <c r="AA521" s="1"/>
      <c r="AC521" s="1"/>
      <c r="AE521" s="1"/>
      <c r="AG521" s="1"/>
      <c r="AI521" s="1"/>
      <c r="AK521" s="1"/>
      <c r="AO521" s="1"/>
      <c r="AP521" s="1"/>
      <c r="AQ521" s="1"/>
      <c r="AR521" s="1"/>
      <c r="AT521" s="1"/>
      <c r="AU521" s="1"/>
      <c r="AV521" s="1"/>
      <c r="AW521" s="1"/>
      <c r="AX521" s="1"/>
      <c r="AY521" s="1"/>
    </row>
    <row r="522" spans="1:51" ht="15.75" customHeight="1" x14ac:dyDescent="0.2">
      <c r="A522" s="245"/>
      <c r="B522" s="244"/>
      <c r="C522" s="245"/>
      <c r="D522" s="1"/>
      <c r="E522" s="290"/>
      <c r="F522" s="1"/>
      <c r="L522" s="246"/>
      <c r="W522" s="1"/>
      <c r="Y522" s="1"/>
      <c r="AA522" s="1"/>
      <c r="AC522" s="1"/>
      <c r="AE522" s="1"/>
      <c r="AG522" s="1"/>
      <c r="AI522" s="1"/>
      <c r="AK522" s="1"/>
      <c r="AO522" s="1"/>
      <c r="AP522" s="1"/>
      <c r="AQ522" s="1"/>
      <c r="AR522" s="1"/>
      <c r="AT522" s="1"/>
      <c r="AU522" s="1"/>
      <c r="AV522" s="1"/>
      <c r="AW522" s="1"/>
      <c r="AX522" s="1"/>
      <c r="AY522" s="1"/>
    </row>
    <row r="523" spans="1:51" ht="15.75" customHeight="1" x14ac:dyDescent="0.2">
      <c r="A523" s="245"/>
      <c r="B523" s="244"/>
      <c r="C523" s="245"/>
      <c r="D523" s="1"/>
      <c r="E523" s="290"/>
      <c r="F523" s="1"/>
      <c r="L523" s="246"/>
      <c r="W523" s="1"/>
      <c r="Y523" s="1"/>
      <c r="AA523" s="1"/>
      <c r="AC523" s="1"/>
      <c r="AE523" s="1"/>
      <c r="AG523" s="1"/>
      <c r="AI523" s="1"/>
      <c r="AK523" s="1"/>
      <c r="AO523" s="1"/>
      <c r="AP523" s="1"/>
      <c r="AQ523" s="1"/>
      <c r="AR523" s="1"/>
      <c r="AT523" s="1"/>
      <c r="AU523" s="1"/>
      <c r="AV523" s="1"/>
      <c r="AW523" s="1"/>
      <c r="AX523" s="1"/>
      <c r="AY523" s="1"/>
    </row>
    <row r="524" spans="1:51" ht="15.75" customHeight="1" x14ac:dyDescent="0.2">
      <c r="A524" s="245"/>
      <c r="B524" s="244"/>
      <c r="C524" s="245"/>
      <c r="D524" s="1"/>
      <c r="E524" s="290"/>
      <c r="F524" s="1"/>
      <c r="L524" s="246"/>
      <c r="W524" s="1"/>
      <c r="Y524" s="1"/>
      <c r="AA524" s="1"/>
      <c r="AC524" s="1"/>
      <c r="AE524" s="1"/>
      <c r="AG524" s="1"/>
      <c r="AI524" s="1"/>
      <c r="AK524" s="1"/>
      <c r="AO524" s="1"/>
      <c r="AP524" s="1"/>
      <c r="AQ524" s="1"/>
      <c r="AR524" s="1"/>
      <c r="AT524" s="1"/>
      <c r="AU524" s="1"/>
      <c r="AV524" s="1"/>
      <c r="AW524" s="1"/>
      <c r="AX524" s="1"/>
      <c r="AY524" s="1"/>
    </row>
    <row r="525" spans="1:51" ht="15.75" customHeight="1" x14ac:dyDescent="0.2">
      <c r="A525" s="245"/>
      <c r="B525" s="244"/>
      <c r="C525" s="245"/>
      <c r="D525" s="1"/>
      <c r="E525" s="290"/>
      <c r="F525" s="1"/>
      <c r="L525" s="246"/>
      <c r="W525" s="1"/>
      <c r="Y525" s="1"/>
      <c r="AA525" s="1"/>
      <c r="AC525" s="1"/>
      <c r="AE525" s="1"/>
      <c r="AG525" s="1"/>
      <c r="AI525" s="1"/>
      <c r="AK525" s="1"/>
      <c r="AO525" s="1"/>
      <c r="AP525" s="1"/>
      <c r="AQ525" s="1"/>
      <c r="AR525" s="1"/>
      <c r="AT525" s="1"/>
      <c r="AU525" s="1"/>
      <c r="AV525" s="1"/>
      <c r="AW525" s="1"/>
      <c r="AX525" s="1"/>
      <c r="AY525" s="1"/>
    </row>
    <row r="526" spans="1:51" ht="15.75" customHeight="1" x14ac:dyDescent="0.2">
      <c r="A526" s="245"/>
      <c r="B526" s="244"/>
      <c r="C526" s="245"/>
      <c r="D526" s="1"/>
      <c r="E526" s="290"/>
      <c r="F526" s="1"/>
      <c r="L526" s="246"/>
      <c r="W526" s="1"/>
      <c r="Y526" s="1"/>
      <c r="AA526" s="1"/>
      <c r="AC526" s="1"/>
      <c r="AE526" s="1"/>
      <c r="AG526" s="1"/>
      <c r="AI526" s="1"/>
      <c r="AK526" s="1"/>
      <c r="AO526" s="1"/>
      <c r="AP526" s="1"/>
      <c r="AQ526" s="1"/>
      <c r="AR526" s="1"/>
      <c r="AT526" s="1"/>
      <c r="AU526" s="1"/>
      <c r="AV526" s="1"/>
      <c r="AW526" s="1"/>
      <c r="AX526" s="1"/>
      <c r="AY526" s="1"/>
    </row>
    <row r="527" spans="1:51" ht="15.75" customHeight="1" x14ac:dyDescent="0.2">
      <c r="A527" s="245"/>
      <c r="B527" s="244"/>
      <c r="C527" s="245"/>
      <c r="D527" s="1"/>
      <c r="E527" s="290"/>
      <c r="F527" s="1"/>
      <c r="L527" s="246"/>
      <c r="W527" s="1"/>
      <c r="Y527" s="1"/>
      <c r="AA527" s="1"/>
      <c r="AC527" s="1"/>
      <c r="AE527" s="1"/>
      <c r="AG527" s="1"/>
      <c r="AI527" s="1"/>
      <c r="AK527" s="1"/>
      <c r="AO527" s="1"/>
      <c r="AP527" s="1"/>
      <c r="AQ527" s="1"/>
      <c r="AR527" s="1"/>
      <c r="AT527" s="1"/>
      <c r="AU527" s="1"/>
      <c r="AV527" s="1"/>
      <c r="AW527" s="1"/>
      <c r="AX527" s="1"/>
      <c r="AY527" s="1"/>
    </row>
    <row r="528" spans="1:51" ht="15.75" customHeight="1" x14ac:dyDescent="0.2">
      <c r="A528" s="245"/>
      <c r="B528" s="244"/>
      <c r="C528" s="245"/>
      <c r="D528" s="1"/>
      <c r="E528" s="290"/>
      <c r="F528" s="1"/>
      <c r="L528" s="246"/>
      <c r="W528" s="1"/>
      <c r="Y528" s="1"/>
      <c r="AA528" s="1"/>
      <c r="AC528" s="1"/>
      <c r="AE528" s="1"/>
      <c r="AG528" s="1"/>
      <c r="AI528" s="1"/>
      <c r="AK528" s="1"/>
      <c r="AO528" s="1"/>
      <c r="AP528" s="1"/>
      <c r="AQ528" s="1"/>
      <c r="AR528" s="1"/>
      <c r="AT528" s="1"/>
      <c r="AU528" s="1"/>
      <c r="AV528" s="1"/>
      <c r="AW528" s="1"/>
      <c r="AX528" s="1"/>
      <c r="AY528" s="1"/>
    </row>
    <row r="529" spans="1:51" ht="15.75" customHeight="1" x14ac:dyDescent="0.2">
      <c r="A529" s="245"/>
      <c r="B529" s="244"/>
      <c r="C529" s="245"/>
      <c r="D529" s="1"/>
      <c r="E529" s="290"/>
      <c r="F529" s="1"/>
      <c r="L529" s="246"/>
      <c r="W529" s="1"/>
      <c r="Y529" s="1"/>
      <c r="AA529" s="1"/>
      <c r="AC529" s="1"/>
      <c r="AE529" s="1"/>
      <c r="AG529" s="1"/>
      <c r="AI529" s="1"/>
      <c r="AK529" s="1"/>
      <c r="AO529" s="1"/>
      <c r="AP529" s="1"/>
      <c r="AQ529" s="1"/>
      <c r="AR529" s="1"/>
      <c r="AT529" s="1"/>
      <c r="AU529" s="1"/>
      <c r="AV529" s="1"/>
      <c r="AW529" s="1"/>
      <c r="AX529" s="1"/>
      <c r="AY529" s="1"/>
    </row>
    <row r="530" spans="1:51" ht="15.75" customHeight="1" x14ac:dyDescent="0.2">
      <c r="A530" s="245"/>
      <c r="B530" s="244"/>
      <c r="C530" s="245"/>
      <c r="D530" s="1"/>
      <c r="E530" s="290"/>
      <c r="F530" s="1"/>
      <c r="L530" s="246"/>
      <c r="W530" s="1"/>
      <c r="Y530" s="1"/>
      <c r="AA530" s="1"/>
      <c r="AC530" s="1"/>
      <c r="AE530" s="1"/>
      <c r="AG530" s="1"/>
      <c r="AI530" s="1"/>
      <c r="AK530" s="1"/>
      <c r="AO530" s="1"/>
      <c r="AP530" s="1"/>
      <c r="AQ530" s="1"/>
      <c r="AR530" s="1"/>
      <c r="AT530" s="1"/>
      <c r="AU530" s="1"/>
      <c r="AV530" s="1"/>
      <c r="AW530" s="1"/>
      <c r="AX530" s="1"/>
      <c r="AY530" s="1"/>
    </row>
    <row r="531" spans="1:51" ht="15.75" customHeight="1" x14ac:dyDescent="0.2">
      <c r="A531" s="245"/>
      <c r="B531" s="244"/>
      <c r="C531" s="245"/>
      <c r="D531" s="1"/>
      <c r="E531" s="290"/>
      <c r="F531" s="1"/>
      <c r="L531" s="246"/>
      <c r="W531" s="1"/>
      <c r="Y531" s="1"/>
      <c r="AA531" s="1"/>
      <c r="AC531" s="1"/>
      <c r="AE531" s="1"/>
      <c r="AG531" s="1"/>
      <c r="AI531" s="1"/>
      <c r="AK531" s="1"/>
      <c r="AO531" s="1"/>
      <c r="AP531" s="1"/>
      <c r="AQ531" s="1"/>
      <c r="AR531" s="1"/>
      <c r="AT531" s="1"/>
      <c r="AU531" s="1"/>
      <c r="AV531" s="1"/>
      <c r="AW531" s="1"/>
      <c r="AX531" s="1"/>
      <c r="AY531" s="1"/>
    </row>
    <row r="532" spans="1:51" ht="15.75" customHeight="1" x14ac:dyDescent="0.2">
      <c r="A532" s="245"/>
      <c r="B532" s="244"/>
      <c r="C532" s="245"/>
      <c r="D532" s="1"/>
      <c r="E532" s="290"/>
      <c r="F532" s="1"/>
      <c r="L532" s="246"/>
      <c r="W532" s="1"/>
      <c r="Y532" s="1"/>
      <c r="AA532" s="1"/>
      <c r="AC532" s="1"/>
      <c r="AE532" s="1"/>
      <c r="AG532" s="1"/>
      <c r="AI532" s="1"/>
      <c r="AK532" s="1"/>
      <c r="AO532" s="1"/>
      <c r="AP532" s="1"/>
      <c r="AQ532" s="1"/>
      <c r="AR532" s="1"/>
      <c r="AT532" s="1"/>
      <c r="AU532" s="1"/>
      <c r="AV532" s="1"/>
      <c r="AW532" s="1"/>
      <c r="AX532" s="1"/>
      <c r="AY532" s="1"/>
    </row>
    <row r="533" spans="1:51" ht="15.75" customHeight="1" x14ac:dyDescent="0.2">
      <c r="A533" s="245"/>
      <c r="B533" s="244"/>
      <c r="C533" s="245"/>
      <c r="D533" s="1"/>
      <c r="E533" s="290"/>
      <c r="F533" s="1"/>
      <c r="L533" s="246"/>
      <c r="W533" s="1"/>
      <c r="Y533" s="1"/>
      <c r="AA533" s="1"/>
      <c r="AC533" s="1"/>
      <c r="AE533" s="1"/>
      <c r="AG533" s="1"/>
      <c r="AI533" s="1"/>
      <c r="AK533" s="1"/>
      <c r="AO533" s="1"/>
      <c r="AP533" s="1"/>
      <c r="AQ533" s="1"/>
      <c r="AR533" s="1"/>
      <c r="AT533" s="1"/>
      <c r="AU533" s="1"/>
      <c r="AV533" s="1"/>
      <c r="AW533" s="1"/>
      <c r="AX533" s="1"/>
      <c r="AY533" s="1"/>
    </row>
    <row r="534" spans="1:51" ht="15.75" customHeight="1" x14ac:dyDescent="0.2">
      <c r="A534" s="245"/>
      <c r="B534" s="244"/>
      <c r="C534" s="245"/>
      <c r="D534" s="1"/>
      <c r="E534" s="290"/>
      <c r="F534" s="1"/>
      <c r="L534" s="246"/>
      <c r="W534" s="1"/>
      <c r="Y534" s="1"/>
      <c r="AA534" s="1"/>
      <c r="AC534" s="1"/>
      <c r="AE534" s="1"/>
      <c r="AG534" s="1"/>
      <c r="AI534" s="1"/>
      <c r="AK534" s="1"/>
      <c r="AO534" s="1"/>
      <c r="AP534" s="1"/>
      <c r="AQ534" s="1"/>
      <c r="AR534" s="1"/>
      <c r="AT534" s="1"/>
      <c r="AU534" s="1"/>
      <c r="AV534" s="1"/>
      <c r="AW534" s="1"/>
      <c r="AX534" s="1"/>
      <c r="AY534" s="1"/>
    </row>
    <row r="535" spans="1:51" ht="15.75" customHeight="1" x14ac:dyDescent="0.2">
      <c r="A535" s="245"/>
      <c r="B535" s="244"/>
      <c r="C535" s="245"/>
      <c r="D535" s="1"/>
      <c r="E535" s="290"/>
      <c r="F535" s="1"/>
      <c r="L535" s="246"/>
      <c r="W535" s="1"/>
      <c r="Y535" s="1"/>
      <c r="AA535" s="1"/>
      <c r="AC535" s="1"/>
      <c r="AE535" s="1"/>
      <c r="AG535" s="1"/>
      <c r="AI535" s="1"/>
      <c r="AK535" s="1"/>
      <c r="AO535" s="1"/>
      <c r="AP535" s="1"/>
      <c r="AQ535" s="1"/>
      <c r="AR535" s="1"/>
      <c r="AT535" s="1"/>
      <c r="AU535" s="1"/>
      <c r="AV535" s="1"/>
      <c r="AW535" s="1"/>
      <c r="AX535" s="1"/>
      <c r="AY535" s="1"/>
    </row>
    <row r="536" spans="1:51" ht="15.75" customHeight="1" x14ac:dyDescent="0.2">
      <c r="A536" s="245"/>
      <c r="B536" s="244"/>
      <c r="C536" s="245"/>
      <c r="D536" s="1"/>
      <c r="E536" s="290"/>
      <c r="F536" s="1"/>
      <c r="L536" s="246"/>
      <c r="W536" s="1"/>
      <c r="Y536" s="1"/>
      <c r="AA536" s="1"/>
      <c r="AC536" s="1"/>
      <c r="AE536" s="1"/>
      <c r="AG536" s="1"/>
      <c r="AI536" s="1"/>
      <c r="AK536" s="1"/>
      <c r="AO536" s="1"/>
      <c r="AP536" s="1"/>
      <c r="AQ536" s="1"/>
      <c r="AR536" s="1"/>
      <c r="AT536" s="1"/>
      <c r="AU536" s="1"/>
      <c r="AV536" s="1"/>
      <c r="AW536" s="1"/>
      <c r="AX536" s="1"/>
      <c r="AY536" s="1"/>
    </row>
    <row r="537" spans="1:51" ht="15.75" customHeight="1" x14ac:dyDescent="0.2">
      <c r="A537" s="245"/>
      <c r="B537" s="244"/>
      <c r="C537" s="245"/>
      <c r="D537" s="1"/>
      <c r="E537" s="290"/>
      <c r="F537" s="1"/>
      <c r="L537" s="246"/>
      <c r="W537" s="1"/>
      <c r="Y537" s="1"/>
      <c r="AA537" s="1"/>
      <c r="AC537" s="1"/>
      <c r="AE537" s="1"/>
      <c r="AG537" s="1"/>
      <c r="AI537" s="1"/>
      <c r="AK537" s="1"/>
      <c r="AO537" s="1"/>
      <c r="AP537" s="1"/>
      <c r="AQ537" s="1"/>
      <c r="AR537" s="1"/>
      <c r="AT537" s="1"/>
      <c r="AU537" s="1"/>
      <c r="AV537" s="1"/>
      <c r="AW537" s="1"/>
      <c r="AX537" s="1"/>
      <c r="AY537" s="1"/>
    </row>
    <row r="538" spans="1:51" ht="15.75" customHeight="1" x14ac:dyDescent="0.2">
      <c r="A538" s="245"/>
      <c r="B538" s="244"/>
      <c r="C538" s="245"/>
      <c r="D538" s="1"/>
      <c r="E538" s="290"/>
      <c r="F538" s="1"/>
      <c r="L538" s="246"/>
      <c r="W538" s="1"/>
      <c r="Y538" s="1"/>
      <c r="AA538" s="1"/>
      <c r="AC538" s="1"/>
      <c r="AE538" s="1"/>
      <c r="AG538" s="1"/>
      <c r="AI538" s="1"/>
      <c r="AK538" s="1"/>
      <c r="AO538" s="1"/>
      <c r="AP538" s="1"/>
      <c r="AQ538" s="1"/>
      <c r="AR538" s="1"/>
      <c r="AT538" s="1"/>
      <c r="AU538" s="1"/>
      <c r="AV538" s="1"/>
      <c r="AW538" s="1"/>
      <c r="AX538" s="1"/>
      <c r="AY538" s="1"/>
    </row>
    <row r="539" spans="1:51" ht="15.75" customHeight="1" x14ac:dyDescent="0.2">
      <c r="A539" s="245"/>
      <c r="B539" s="244"/>
      <c r="C539" s="245"/>
      <c r="D539" s="1"/>
      <c r="E539" s="290"/>
      <c r="F539" s="1"/>
      <c r="L539" s="246"/>
      <c r="W539" s="1"/>
      <c r="Y539" s="1"/>
      <c r="AA539" s="1"/>
      <c r="AC539" s="1"/>
      <c r="AE539" s="1"/>
      <c r="AG539" s="1"/>
      <c r="AI539" s="1"/>
      <c r="AK539" s="1"/>
      <c r="AO539" s="1"/>
      <c r="AP539" s="1"/>
      <c r="AQ539" s="1"/>
      <c r="AR539" s="1"/>
      <c r="AT539" s="1"/>
      <c r="AU539" s="1"/>
      <c r="AV539" s="1"/>
      <c r="AW539" s="1"/>
      <c r="AX539" s="1"/>
      <c r="AY539" s="1"/>
    </row>
    <row r="540" spans="1:51" ht="15.75" customHeight="1" x14ac:dyDescent="0.2">
      <c r="A540" s="245"/>
      <c r="B540" s="244"/>
      <c r="C540" s="245"/>
      <c r="D540" s="1"/>
      <c r="E540" s="290"/>
      <c r="F540" s="1"/>
      <c r="L540" s="246"/>
      <c r="W540" s="1"/>
      <c r="Y540" s="1"/>
      <c r="AA540" s="1"/>
      <c r="AC540" s="1"/>
      <c r="AE540" s="1"/>
      <c r="AG540" s="1"/>
      <c r="AI540" s="1"/>
      <c r="AK540" s="1"/>
      <c r="AO540" s="1"/>
      <c r="AP540" s="1"/>
      <c r="AQ540" s="1"/>
      <c r="AR540" s="1"/>
      <c r="AT540" s="1"/>
      <c r="AU540" s="1"/>
      <c r="AV540" s="1"/>
      <c r="AW540" s="1"/>
      <c r="AX540" s="1"/>
      <c r="AY540" s="1"/>
    </row>
    <row r="541" spans="1:51" ht="15.75" customHeight="1" x14ac:dyDescent="0.2">
      <c r="A541" s="245"/>
      <c r="B541" s="244"/>
      <c r="C541" s="245"/>
      <c r="D541" s="1"/>
      <c r="E541" s="290"/>
      <c r="F541" s="1"/>
      <c r="L541" s="246"/>
      <c r="W541" s="1"/>
      <c r="Y541" s="1"/>
      <c r="AA541" s="1"/>
      <c r="AC541" s="1"/>
      <c r="AE541" s="1"/>
      <c r="AG541" s="1"/>
      <c r="AI541" s="1"/>
      <c r="AK541" s="1"/>
      <c r="AO541" s="1"/>
      <c r="AP541" s="1"/>
      <c r="AQ541" s="1"/>
      <c r="AR541" s="1"/>
      <c r="AT541" s="1"/>
      <c r="AU541" s="1"/>
      <c r="AV541" s="1"/>
      <c r="AW541" s="1"/>
      <c r="AX541" s="1"/>
      <c r="AY541" s="1"/>
    </row>
    <row r="542" spans="1:51" ht="15.75" customHeight="1" x14ac:dyDescent="0.2">
      <c r="A542" s="245"/>
      <c r="B542" s="244"/>
      <c r="C542" s="245"/>
      <c r="D542" s="1"/>
      <c r="E542" s="290"/>
      <c r="F542" s="1"/>
      <c r="L542" s="246"/>
      <c r="W542" s="1"/>
      <c r="Y542" s="1"/>
      <c r="AA542" s="1"/>
      <c r="AC542" s="1"/>
      <c r="AE542" s="1"/>
      <c r="AG542" s="1"/>
      <c r="AI542" s="1"/>
      <c r="AK542" s="1"/>
      <c r="AO542" s="1"/>
      <c r="AP542" s="1"/>
      <c r="AQ542" s="1"/>
      <c r="AR542" s="1"/>
      <c r="AT542" s="1"/>
      <c r="AU542" s="1"/>
      <c r="AV542" s="1"/>
      <c r="AW542" s="1"/>
      <c r="AX542" s="1"/>
      <c r="AY542" s="1"/>
    </row>
    <row r="543" spans="1:51" ht="15.75" customHeight="1" x14ac:dyDescent="0.2">
      <c r="A543" s="245"/>
      <c r="B543" s="244"/>
      <c r="C543" s="245"/>
      <c r="D543" s="1"/>
      <c r="E543" s="290"/>
      <c r="F543" s="1"/>
      <c r="L543" s="246"/>
      <c r="W543" s="1"/>
      <c r="Y543" s="1"/>
      <c r="AA543" s="1"/>
      <c r="AC543" s="1"/>
      <c r="AE543" s="1"/>
      <c r="AG543" s="1"/>
      <c r="AI543" s="1"/>
      <c r="AK543" s="1"/>
      <c r="AO543" s="1"/>
      <c r="AP543" s="1"/>
      <c r="AQ543" s="1"/>
      <c r="AR543" s="1"/>
      <c r="AT543" s="1"/>
      <c r="AU543" s="1"/>
      <c r="AV543" s="1"/>
      <c r="AW543" s="1"/>
      <c r="AX543" s="1"/>
      <c r="AY543" s="1"/>
    </row>
    <row r="544" spans="1:51" ht="15.75" customHeight="1" x14ac:dyDescent="0.2">
      <c r="A544" s="245"/>
      <c r="B544" s="244"/>
      <c r="C544" s="245"/>
      <c r="D544" s="1"/>
      <c r="E544" s="290"/>
      <c r="F544" s="1"/>
      <c r="L544" s="246"/>
      <c r="W544" s="1"/>
      <c r="Y544" s="1"/>
      <c r="AA544" s="1"/>
      <c r="AC544" s="1"/>
      <c r="AE544" s="1"/>
      <c r="AG544" s="1"/>
      <c r="AI544" s="1"/>
      <c r="AK544" s="1"/>
      <c r="AO544" s="1"/>
      <c r="AP544" s="1"/>
      <c r="AQ544" s="1"/>
      <c r="AR544" s="1"/>
      <c r="AT544" s="1"/>
      <c r="AU544" s="1"/>
      <c r="AV544" s="1"/>
      <c r="AW544" s="1"/>
      <c r="AX544" s="1"/>
      <c r="AY544" s="1"/>
    </row>
    <row r="545" spans="1:51" ht="15.75" customHeight="1" x14ac:dyDescent="0.2">
      <c r="A545" s="245"/>
      <c r="B545" s="244"/>
      <c r="C545" s="245"/>
      <c r="D545" s="1"/>
      <c r="E545" s="290"/>
      <c r="F545" s="1"/>
      <c r="L545" s="246"/>
      <c r="W545" s="1"/>
      <c r="Y545" s="1"/>
      <c r="AA545" s="1"/>
      <c r="AC545" s="1"/>
      <c r="AE545" s="1"/>
      <c r="AG545" s="1"/>
      <c r="AI545" s="1"/>
      <c r="AK545" s="1"/>
      <c r="AO545" s="1"/>
      <c r="AP545" s="1"/>
      <c r="AQ545" s="1"/>
      <c r="AR545" s="1"/>
      <c r="AT545" s="1"/>
      <c r="AU545" s="1"/>
      <c r="AV545" s="1"/>
      <c r="AW545" s="1"/>
      <c r="AX545" s="1"/>
      <c r="AY545" s="1"/>
    </row>
    <row r="546" spans="1:51" ht="15.75" customHeight="1" x14ac:dyDescent="0.2">
      <c r="A546" s="245"/>
      <c r="B546" s="244"/>
      <c r="C546" s="245"/>
      <c r="D546" s="1"/>
      <c r="E546" s="290"/>
      <c r="F546" s="1"/>
      <c r="L546" s="246"/>
      <c r="W546" s="1"/>
      <c r="Y546" s="1"/>
      <c r="AA546" s="1"/>
      <c r="AC546" s="1"/>
      <c r="AE546" s="1"/>
      <c r="AG546" s="1"/>
      <c r="AI546" s="1"/>
      <c r="AK546" s="1"/>
      <c r="AO546" s="1"/>
      <c r="AP546" s="1"/>
      <c r="AQ546" s="1"/>
      <c r="AR546" s="1"/>
      <c r="AT546" s="1"/>
      <c r="AU546" s="1"/>
      <c r="AV546" s="1"/>
      <c r="AW546" s="1"/>
      <c r="AX546" s="1"/>
      <c r="AY546" s="1"/>
    </row>
    <row r="547" spans="1:51" ht="15.75" customHeight="1" x14ac:dyDescent="0.2">
      <c r="A547" s="245"/>
      <c r="B547" s="244"/>
      <c r="C547" s="245"/>
      <c r="D547" s="1"/>
      <c r="E547" s="290"/>
      <c r="F547" s="1"/>
      <c r="L547" s="246"/>
      <c r="W547" s="1"/>
      <c r="Y547" s="1"/>
      <c r="AA547" s="1"/>
      <c r="AC547" s="1"/>
      <c r="AE547" s="1"/>
      <c r="AG547" s="1"/>
      <c r="AI547" s="1"/>
      <c r="AK547" s="1"/>
      <c r="AO547" s="1"/>
      <c r="AP547" s="1"/>
      <c r="AQ547" s="1"/>
      <c r="AR547" s="1"/>
      <c r="AT547" s="1"/>
      <c r="AU547" s="1"/>
      <c r="AV547" s="1"/>
      <c r="AW547" s="1"/>
      <c r="AX547" s="1"/>
      <c r="AY547" s="1"/>
    </row>
    <row r="548" spans="1:51" ht="15.75" customHeight="1" x14ac:dyDescent="0.2">
      <c r="A548" s="245"/>
      <c r="B548" s="244"/>
      <c r="C548" s="245"/>
      <c r="D548" s="1"/>
      <c r="E548" s="290"/>
      <c r="F548" s="1"/>
      <c r="L548" s="246"/>
      <c r="W548" s="1"/>
      <c r="Y548" s="1"/>
      <c r="AA548" s="1"/>
      <c r="AC548" s="1"/>
      <c r="AE548" s="1"/>
      <c r="AG548" s="1"/>
      <c r="AI548" s="1"/>
      <c r="AK548" s="1"/>
      <c r="AO548" s="1"/>
      <c r="AP548" s="1"/>
      <c r="AQ548" s="1"/>
      <c r="AR548" s="1"/>
      <c r="AT548" s="1"/>
      <c r="AU548" s="1"/>
      <c r="AV548" s="1"/>
      <c r="AW548" s="1"/>
      <c r="AX548" s="1"/>
      <c r="AY548" s="1"/>
    </row>
    <row r="549" spans="1:51" ht="15.75" customHeight="1" x14ac:dyDescent="0.2">
      <c r="A549" s="245"/>
      <c r="B549" s="244"/>
      <c r="C549" s="245"/>
      <c r="D549" s="1"/>
      <c r="E549" s="290"/>
      <c r="F549" s="1"/>
      <c r="L549" s="246"/>
      <c r="W549" s="1"/>
      <c r="Y549" s="1"/>
      <c r="AA549" s="1"/>
      <c r="AC549" s="1"/>
      <c r="AE549" s="1"/>
      <c r="AG549" s="1"/>
      <c r="AI549" s="1"/>
      <c r="AK549" s="1"/>
      <c r="AO549" s="1"/>
      <c r="AP549" s="1"/>
      <c r="AQ549" s="1"/>
      <c r="AR549" s="1"/>
      <c r="AT549" s="1"/>
      <c r="AU549" s="1"/>
      <c r="AV549" s="1"/>
      <c r="AW549" s="1"/>
      <c r="AX549" s="1"/>
      <c r="AY549" s="1"/>
    </row>
    <row r="550" spans="1:51" ht="15.75" customHeight="1" x14ac:dyDescent="0.2">
      <c r="A550" s="245"/>
      <c r="B550" s="244"/>
      <c r="C550" s="245"/>
      <c r="D550" s="1"/>
      <c r="E550" s="290"/>
      <c r="F550" s="1"/>
      <c r="L550" s="246"/>
      <c r="W550" s="1"/>
      <c r="Y550" s="1"/>
      <c r="AA550" s="1"/>
      <c r="AC550" s="1"/>
      <c r="AE550" s="1"/>
      <c r="AG550" s="1"/>
      <c r="AI550" s="1"/>
      <c r="AK550" s="1"/>
      <c r="AO550" s="1"/>
      <c r="AP550" s="1"/>
      <c r="AQ550" s="1"/>
      <c r="AR550" s="1"/>
      <c r="AT550" s="1"/>
      <c r="AU550" s="1"/>
      <c r="AV550" s="1"/>
      <c r="AW550" s="1"/>
      <c r="AX550" s="1"/>
      <c r="AY550" s="1"/>
    </row>
    <row r="551" spans="1:51" ht="15.75" customHeight="1" x14ac:dyDescent="0.2">
      <c r="A551" s="245"/>
      <c r="B551" s="244"/>
      <c r="C551" s="245"/>
      <c r="D551" s="1"/>
      <c r="E551" s="290"/>
      <c r="F551" s="1"/>
      <c r="L551" s="246"/>
      <c r="W551" s="1"/>
      <c r="Y551" s="1"/>
      <c r="AA551" s="1"/>
      <c r="AC551" s="1"/>
      <c r="AE551" s="1"/>
      <c r="AG551" s="1"/>
      <c r="AI551" s="1"/>
      <c r="AK551" s="1"/>
      <c r="AO551" s="1"/>
      <c r="AP551" s="1"/>
      <c r="AQ551" s="1"/>
      <c r="AR551" s="1"/>
      <c r="AT551" s="1"/>
      <c r="AU551" s="1"/>
      <c r="AV551" s="1"/>
      <c r="AW551" s="1"/>
      <c r="AX551" s="1"/>
      <c r="AY551" s="1"/>
    </row>
    <row r="552" spans="1:51" ht="15.75" customHeight="1" x14ac:dyDescent="0.2">
      <c r="A552" s="245"/>
      <c r="B552" s="244"/>
      <c r="C552" s="245"/>
      <c r="D552" s="1"/>
      <c r="E552" s="290"/>
      <c r="F552" s="1"/>
      <c r="L552" s="246"/>
      <c r="W552" s="1"/>
      <c r="Y552" s="1"/>
      <c r="AA552" s="1"/>
      <c r="AC552" s="1"/>
      <c r="AE552" s="1"/>
      <c r="AG552" s="1"/>
      <c r="AI552" s="1"/>
      <c r="AK552" s="1"/>
      <c r="AO552" s="1"/>
      <c r="AP552" s="1"/>
      <c r="AQ552" s="1"/>
      <c r="AR552" s="1"/>
      <c r="AT552" s="1"/>
      <c r="AU552" s="1"/>
      <c r="AV552" s="1"/>
      <c r="AW552" s="1"/>
      <c r="AX552" s="1"/>
      <c r="AY552" s="1"/>
    </row>
    <row r="553" spans="1:51" ht="15.75" customHeight="1" x14ac:dyDescent="0.2">
      <c r="A553" s="245"/>
      <c r="B553" s="244"/>
      <c r="C553" s="245"/>
      <c r="D553" s="1"/>
      <c r="E553" s="290"/>
      <c r="F553" s="1"/>
      <c r="L553" s="246"/>
      <c r="W553" s="1"/>
      <c r="Y553" s="1"/>
      <c r="AA553" s="1"/>
      <c r="AC553" s="1"/>
      <c r="AE553" s="1"/>
      <c r="AG553" s="1"/>
      <c r="AI553" s="1"/>
      <c r="AK553" s="1"/>
      <c r="AO553" s="1"/>
      <c r="AP553" s="1"/>
      <c r="AQ553" s="1"/>
      <c r="AR553" s="1"/>
      <c r="AT553" s="1"/>
      <c r="AU553" s="1"/>
      <c r="AV553" s="1"/>
      <c r="AW553" s="1"/>
      <c r="AX553" s="1"/>
      <c r="AY553" s="1"/>
    </row>
    <row r="554" spans="1:51" ht="15.75" customHeight="1" x14ac:dyDescent="0.2">
      <c r="A554" s="245"/>
      <c r="B554" s="244"/>
      <c r="C554" s="245"/>
      <c r="D554" s="1"/>
      <c r="E554" s="290"/>
      <c r="F554" s="1"/>
      <c r="L554" s="246"/>
      <c r="W554" s="1"/>
      <c r="Y554" s="1"/>
      <c r="AA554" s="1"/>
      <c r="AC554" s="1"/>
      <c r="AE554" s="1"/>
      <c r="AG554" s="1"/>
      <c r="AI554" s="1"/>
      <c r="AK554" s="1"/>
      <c r="AO554" s="1"/>
      <c r="AP554" s="1"/>
      <c r="AQ554" s="1"/>
      <c r="AR554" s="1"/>
      <c r="AT554" s="1"/>
      <c r="AU554" s="1"/>
      <c r="AV554" s="1"/>
      <c r="AW554" s="1"/>
      <c r="AX554" s="1"/>
      <c r="AY554" s="1"/>
    </row>
    <row r="555" spans="1:51" ht="15.75" customHeight="1" x14ac:dyDescent="0.2">
      <c r="A555" s="245"/>
      <c r="B555" s="244"/>
      <c r="C555" s="245"/>
      <c r="D555" s="1"/>
      <c r="E555" s="290"/>
      <c r="F555" s="1"/>
      <c r="L555" s="246"/>
      <c r="W555" s="1"/>
      <c r="Y555" s="1"/>
      <c r="AA555" s="1"/>
      <c r="AC555" s="1"/>
      <c r="AE555" s="1"/>
      <c r="AG555" s="1"/>
      <c r="AI555" s="1"/>
      <c r="AK555" s="1"/>
      <c r="AO555" s="1"/>
      <c r="AP555" s="1"/>
      <c r="AQ555" s="1"/>
      <c r="AR555" s="1"/>
      <c r="AT555" s="1"/>
      <c r="AU555" s="1"/>
      <c r="AV555" s="1"/>
      <c r="AW555" s="1"/>
      <c r="AX555" s="1"/>
      <c r="AY555" s="1"/>
    </row>
    <row r="556" spans="1:51" ht="15.75" customHeight="1" x14ac:dyDescent="0.2">
      <c r="A556" s="245"/>
      <c r="B556" s="244"/>
      <c r="C556" s="245"/>
      <c r="D556" s="1"/>
      <c r="E556" s="290"/>
      <c r="F556" s="1"/>
      <c r="L556" s="246"/>
      <c r="W556" s="1"/>
      <c r="Y556" s="1"/>
      <c r="AA556" s="1"/>
      <c r="AC556" s="1"/>
      <c r="AE556" s="1"/>
      <c r="AG556" s="1"/>
      <c r="AI556" s="1"/>
      <c r="AK556" s="1"/>
      <c r="AO556" s="1"/>
      <c r="AP556" s="1"/>
      <c r="AQ556" s="1"/>
      <c r="AR556" s="1"/>
      <c r="AT556" s="1"/>
      <c r="AU556" s="1"/>
      <c r="AV556" s="1"/>
      <c r="AW556" s="1"/>
      <c r="AX556" s="1"/>
      <c r="AY556" s="1"/>
    </row>
    <row r="557" spans="1:51" ht="15.75" customHeight="1" x14ac:dyDescent="0.2">
      <c r="A557" s="245"/>
      <c r="B557" s="244"/>
      <c r="C557" s="245"/>
      <c r="D557" s="1"/>
      <c r="E557" s="290"/>
      <c r="F557" s="1"/>
      <c r="L557" s="246"/>
      <c r="W557" s="1"/>
      <c r="Y557" s="1"/>
      <c r="AA557" s="1"/>
      <c r="AC557" s="1"/>
      <c r="AE557" s="1"/>
      <c r="AG557" s="1"/>
      <c r="AI557" s="1"/>
      <c r="AK557" s="1"/>
      <c r="AO557" s="1"/>
      <c r="AP557" s="1"/>
      <c r="AQ557" s="1"/>
      <c r="AR557" s="1"/>
      <c r="AT557" s="1"/>
      <c r="AU557" s="1"/>
      <c r="AV557" s="1"/>
      <c r="AW557" s="1"/>
      <c r="AX557" s="1"/>
      <c r="AY557" s="1"/>
    </row>
    <row r="558" spans="1:51" ht="15.75" customHeight="1" x14ac:dyDescent="0.2">
      <c r="A558" s="245"/>
      <c r="B558" s="244"/>
      <c r="C558" s="245"/>
      <c r="D558" s="1"/>
      <c r="E558" s="290"/>
      <c r="F558" s="1"/>
      <c r="L558" s="246"/>
      <c r="W558" s="1"/>
      <c r="Y558" s="1"/>
      <c r="AA558" s="1"/>
      <c r="AC558" s="1"/>
      <c r="AE558" s="1"/>
      <c r="AG558" s="1"/>
      <c r="AI558" s="1"/>
      <c r="AK558" s="1"/>
      <c r="AO558" s="1"/>
      <c r="AP558" s="1"/>
      <c r="AQ558" s="1"/>
      <c r="AR558" s="1"/>
      <c r="AT558" s="1"/>
      <c r="AU558" s="1"/>
      <c r="AV558" s="1"/>
      <c r="AW558" s="1"/>
      <c r="AX558" s="1"/>
      <c r="AY558" s="1"/>
    </row>
    <row r="559" spans="1:51" ht="15.75" customHeight="1" x14ac:dyDescent="0.2">
      <c r="A559" s="245"/>
      <c r="B559" s="244"/>
      <c r="C559" s="245"/>
      <c r="D559" s="1"/>
      <c r="E559" s="290"/>
      <c r="F559" s="1"/>
      <c r="L559" s="246"/>
      <c r="W559" s="1"/>
      <c r="Y559" s="1"/>
      <c r="AA559" s="1"/>
      <c r="AC559" s="1"/>
      <c r="AE559" s="1"/>
      <c r="AG559" s="1"/>
      <c r="AI559" s="1"/>
      <c r="AK559" s="1"/>
      <c r="AO559" s="1"/>
      <c r="AP559" s="1"/>
      <c r="AQ559" s="1"/>
      <c r="AR559" s="1"/>
      <c r="AT559" s="1"/>
      <c r="AU559" s="1"/>
      <c r="AV559" s="1"/>
      <c r="AW559" s="1"/>
      <c r="AX559" s="1"/>
      <c r="AY559" s="1"/>
    </row>
    <row r="560" spans="1:51" ht="15.75" customHeight="1" x14ac:dyDescent="0.2">
      <c r="A560" s="245"/>
      <c r="B560" s="244"/>
      <c r="C560" s="245"/>
      <c r="D560" s="1"/>
      <c r="E560" s="290"/>
      <c r="F560" s="1"/>
      <c r="L560" s="246"/>
      <c r="W560" s="1"/>
      <c r="Y560" s="1"/>
      <c r="AA560" s="1"/>
      <c r="AC560" s="1"/>
      <c r="AE560" s="1"/>
      <c r="AG560" s="1"/>
      <c r="AI560" s="1"/>
      <c r="AK560" s="1"/>
      <c r="AO560" s="1"/>
      <c r="AP560" s="1"/>
      <c r="AQ560" s="1"/>
      <c r="AR560" s="1"/>
      <c r="AT560" s="1"/>
      <c r="AU560" s="1"/>
      <c r="AV560" s="1"/>
      <c r="AW560" s="1"/>
      <c r="AX560" s="1"/>
      <c r="AY560" s="1"/>
    </row>
    <row r="561" spans="1:51" ht="15.75" customHeight="1" x14ac:dyDescent="0.2">
      <c r="A561" s="245"/>
      <c r="B561" s="244"/>
      <c r="C561" s="245"/>
      <c r="D561" s="1"/>
      <c r="E561" s="290"/>
      <c r="F561" s="1"/>
      <c r="L561" s="246"/>
      <c r="W561" s="1"/>
      <c r="Y561" s="1"/>
      <c r="AA561" s="1"/>
      <c r="AC561" s="1"/>
      <c r="AE561" s="1"/>
      <c r="AG561" s="1"/>
      <c r="AI561" s="1"/>
      <c r="AK561" s="1"/>
      <c r="AO561" s="1"/>
      <c r="AP561" s="1"/>
      <c r="AQ561" s="1"/>
      <c r="AR561" s="1"/>
      <c r="AT561" s="1"/>
      <c r="AU561" s="1"/>
      <c r="AV561" s="1"/>
      <c r="AW561" s="1"/>
      <c r="AX561" s="1"/>
      <c r="AY561" s="1"/>
    </row>
    <row r="562" spans="1:51" ht="15.75" customHeight="1" x14ac:dyDescent="0.2">
      <c r="A562" s="245"/>
      <c r="B562" s="244"/>
      <c r="C562" s="245"/>
      <c r="D562" s="1"/>
      <c r="E562" s="290"/>
      <c r="F562" s="1"/>
      <c r="L562" s="246"/>
      <c r="W562" s="1"/>
      <c r="Y562" s="1"/>
      <c r="AA562" s="1"/>
      <c r="AC562" s="1"/>
      <c r="AE562" s="1"/>
      <c r="AG562" s="1"/>
      <c r="AI562" s="1"/>
      <c r="AK562" s="1"/>
      <c r="AO562" s="1"/>
      <c r="AP562" s="1"/>
      <c r="AQ562" s="1"/>
      <c r="AR562" s="1"/>
      <c r="AT562" s="1"/>
      <c r="AU562" s="1"/>
      <c r="AV562" s="1"/>
      <c r="AW562" s="1"/>
      <c r="AX562" s="1"/>
      <c r="AY562" s="1"/>
    </row>
    <row r="563" spans="1:51" ht="15.75" customHeight="1" x14ac:dyDescent="0.2">
      <c r="A563" s="245"/>
      <c r="B563" s="244"/>
      <c r="C563" s="245"/>
      <c r="D563" s="1"/>
      <c r="E563" s="290"/>
      <c r="F563" s="1"/>
      <c r="L563" s="246"/>
      <c r="W563" s="1"/>
      <c r="Y563" s="1"/>
      <c r="AA563" s="1"/>
      <c r="AC563" s="1"/>
      <c r="AE563" s="1"/>
      <c r="AG563" s="1"/>
      <c r="AI563" s="1"/>
      <c r="AK563" s="1"/>
      <c r="AO563" s="1"/>
      <c r="AP563" s="1"/>
      <c r="AQ563" s="1"/>
      <c r="AR563" s="1"/>
      <c r="AT563" s="1"/>
      <c r="AU563" s="1"/>
      <c r="AV563" s="1"/>
      <c r="AW563" s="1"/>
      <c r="AX563" s="1"/>
      <c r="AY563" s="1"/>
    </row>
    <row r="564" spans="1:51" ht="15.75" customHeight="1" x14ac:dyDescent="0.2">
      <c r="A564" s="245"/>
      <c r="B564" s="244"/>
      <c r="C564" s="245"/>
      <c r="D564" s="1"/>
      <c r="E564" s="290"/>
      <c r="F564" s="1"/>
      <c r="L564" s="246"/>
      <c r="W564" s="1"/>
      <c r="Y564" s="1"/>
      <c r="AA564" s="1"/>
      <c r="AC564" s="1"/>
      <c r="AE564" s="1"/>
      <c r="AG564" s="1"/>
      <c r="AI564" s="1"/>
      <c r="AK564" s="1"/>
      <c r="AO564" s="1"/>
      <c r="AP564" s="1"/>
      <c r="AQ564" s="1"/>
      <c r="AR564" s="1"/>
      <c r="AT564" s="1"/>
      <c r="AU564" s="1"/>
      <c r="AV564" s="1"/>
      <c r="AW564" s="1"/>
      <c r="AX564" s="1"/>
      <c r="AY564" s="1"/>
    </row>
    <row r="565" spans="1:51" ht="15.75" customHeight="1" x14ac:dyDescent="0.2">
      <c r="A565" s="245"/>
      <c r="B565" s="244"/>
      <c r="C565" s="245"/>
      <c r="D565" s="1"/>
      <c r="E565" s="290"/>
      <c r="F565" s="1"/>
      <c r="L565" s="246"/>
      <c r="W565" s="1"/>
      <c r="Y565" s="1"/>
      <c r="AA565" s="1"/>
      <c r="AC565" s="1"/>
      <c r="AE565" s="1"/>
      <c r="AG565" s="1"/>
      <c r="AI565" s="1"/>
      <c r="AK565" s="1"/>
      <c r="AO565" s="1"/>
      <c r="AP565" s="1"/>
      <c r="AQ565" s="1"/>
      <c r="AR565" s="1"/>
      <c r="AT565" s="1"/>
      <c r="AU565" s="1"/>
      <c r="AV565" s="1"/>
      <c r="AW565" s="1"/>
      <c r="AX565" s="1"/>
      <c r="AY565" s="1"/>
    </row>
    <row r="566" spans="1:51" ht="15.75" customHeight="1" x14ac:dyDescent="0.2">
      <c r="A566" s="245"/>
      <c r="B566" s="244"/>
      <c r="C566" s="245"/>
      <c r="D566" s="1"/>
      <c r="E566" s="290"/>
      <c r="F566" s="1"/>
      <c r="L566" s="246"/>
      <c r="W566" s="1"/>
      <c r="Y566" s="1"/>
      <c r="AA566" s="1"/>
      <c r="AC566" s="1"/>
      <c r="AE566" s="1"/>
      <c r="AG566" s="1"/>
      <c r="AI566" s="1"/>
      <c r="AK566" s="1"/>
      <c r="AO566" s="1"/>
      <c r="AP566" s="1"/>
      <c r="AQ566" s="1"/>
      <c r="AR566" s="1"/>
      <c r="AT566" s="1"/>
      <c r="AU566" s="1"/>
      <c r="AV566" s="1"/>
      <c r="AW566" s="1"/>
      <c r="AX566" s="1"/>
      <c r="AY566" s="1"/>
    </row>
    <row r="567" spans="1:51" ht="15.75" customHeight="1" x14ac:dyDescent="0.2">
      <c r="A567" s="245"/>
      <c r="B567" s="244"/>
      <c r="C567" s="245"/>
      <c r="D567" s="1"/>
      <c r="E567" s="290"/>
      <c r="F567" s="1"/>
      <c r="L567" s="246"/>
      <c r="W567" s="1"/>
      <c r="Y567" s="1"/>
      <c r="AA567" s="1"/>
      <c r="AC567" s="1"/>
      <c r="AE567" s="1"/>
      <c r="AG567" s="1"/>
      <c r="AI567" s="1"/>
      <c r="AK567" s="1"/>
      <c r="AO567" s="1"/>
      <c r="AP567" s="1"/>
      <c r="AQ567" s="1"/>
      <c r="AR567" s="1"/>
      <c r="AT567" s="1"/>
      <c r="AU567" s="1"/>
      <c r="AV567" s="1"/>
      <c r="AW567" s="1"/>
      <c r="AX567" s="1"/>
      <c r="AY567" s="1"/>
    </row>
    <row r="568" spans="1:51" ht="15.75" customHeight="1" x14ac:dyDescent="0.2">
      <c r="A568" s="245"/>
      <c r="B568" s="244"/>
      <c r="C568" s="245"/>
      <c r="D568" s="1"/>
      <c r="E568" s="290"/>
      <c r="F568" s="1"/>
      <c r="L568" s="246"/>
      <c r="W568" s="1"/>
      <c r="Y568" s="1"/>
      <c r="AA568" s="1"/>
      <c r="AC568" s="1"/>
      <c r="AE568" s="1"/>
      <c r="AG568" s="1"/>
      <c r="AI568" s="1"/>
      <c r="AK568" s="1"/>
      <c r="AO568" s="1"/>
      <c r="AP568" s="1"/>
      <c r="AQ568" s="1"/>
      <c r="AR568" s="1"/>
      <c r="AT568" s="1"/>
      <c r="AU568" s="1"/>
      <c r="AV568" s="1"/>
      <c r="AW568" s="1"/>
      <c r="AX568" s="1"/>
      <c r="AY568" s="1"/>
    </row>
    <row r="569" spans="1:51" ht="15.75" customHeight="1" x14ac:dyDescent="0.2">
      <c r="A569" s="245"/>
      <c r="B569" s="244"/>
      <c r="C569" s="245"/>
      <c r="D569" s="1"/>
      <c r="E569" s="290"/>
      <c r="F569" s="1"/>
      <c r="L569" s="246"/>
      <c r="W569" s="1"/>
      <c r="Y569" s="1"/>
      <c r="AA569" s="1"/>
      <c r="AC569" s="1"/>
      <c r="AE569" s="1"/>
      <c r="AG569" s="1"/>
      <c r="AI569" s="1"/>
      <c r="AK569" s="1"/>
      <c r="AO569" s="1"/>
      <c r="AP569" s="1"/>
      <c r="AQ569" s="1"/>
      <c r="AR569" s="1"/>
      <c r="AT569" s="1"/>
      <c r="AU569" s="1"/>
      <c r="AV569" s="1"/>
      <c r="AW569" s="1"/>
      <c r="AX569" s="1"/>
      <c r="AY569" s="1"/>
    </row>
    <row r="570" spans="1:51" ht="15.75" customHeight="1" x14ac:dyDescent="0.2">
      <c r="A570" s="245"/>
      <c r="B570" s="244"/>
      <c r="C570" s="245"/>
      <c r="D570" s="1"/>
      <c r="E570" s="290"/>
      <c r="F570" s="1"/>
      <c r="L570" s="246"/>
      <c r="W570" s="1"/>
      <c r="Y570" s="1"/>
      <c r="AA570" s="1"/>
      <c r="AC570" s="1"/>
      <c r="AE570" s="1"/>
      <c r="AG570" s="1"/>
      <c r="AI570" s="1"/>
      <c r="AK570" s="1"/>
      <c r="AO570" s="1"/>
      <c r="AP570" s="1"/>
      <c r="AQ570" s="1"/>
      <c r="AR570" s="1"/>
      <c r="AT570" s="1"/>
      <c r="AU570" s="1"/>
      <c r="AV570" s="1"/>
      <c r="AW570" s="1"/>
      <c r="AX570" s="1"/>
      <c r="AY570" s="1"/>
    </row>
    <row r="571" spans="1:51" ht="15.75" customHeight="1" x14ac:dyDescent="0.2">
      <c r="A571" s="245"/>
      <c r="B571" s="244"/>
      <c r="C571" s="245"/>
      <c r="D571" s="1"/>
      <c r="E571" s="290"/>
      <c r="F571" s="1"/>
      <c r="L571" s="246"/>
      <c r="W571" s="1"/>
      <c r="Y571" s="1"/>
      <c r="AA571" s="1"/>
      <c r="AC571" s="1"/>
      <c r="AE571" s="1"/>
      <c r="AG571" s="1"/>
      <c r="AI571" s="1"/>
      <c r="AK571" s="1"/>
      <c r="AO571" s="1"/>
      <c r="AP571" s="1"/>
      <c r="AQ571" s="1"/>
      <c r="AR571" s="1"/>
      <c r="AT571" s="1"/>
      <c r="AU571" s="1"/>
      <c r="AV571" s="1"/>
      <c r="AW571" s="1"/>
      <c r="AX571" s="1"/>
      <c r="AY571" s="1"/>
    </row>
    <row r="572" spans="1:51" ht="15.75" customHeight="1" x14ac:dyDescent="0.2">
      <c r="A572" s="245"/>
      <c r="B572" s="244"/>
      <c r="C572" s="245"/>
      <c r="D572" s="1"/>
      <c r="E572" s="290"/>
      <c r="F572" s="1"/>
      <c r="L572" s="246"/>
      <c r="W572" s="1"/>
      <c r="Y572" s="1"/>
      <c r="AA572" s="1"/>
      <c r="AC572" s="1"/>
      <c r="AE572" s="1"/>
      <c r="AG572" s="1"/>
      <c r="AI572" s="1"/>
      <c r="AK572" s="1"/>
      <c r="AO572" s="1"/>
      <c r="AP572" s="1"/>
      <c r="AQ572" s="1"/>
      <c r="AR572" s="1"/>
      <c r="AT572" s="1"/>
      <c r="AU572" s="1"/>
      <c r="AV572" s="1"/>
      <c r="AW572" s="1"/>
      <c r="AX572" s="1"/>
      <c r="AY572" s="1"/>
    </row>
    <row r="573" spans="1:51" ht="15.75" customHeight="1" x14ac:dyDescent="0.2">
      <c r="A573" s="245"/>
      <c r="B573" s="244"/>
      <c r="C573" s="245"/>
      <c r="D573" s="1"/>
      <c r="E573" s="290"/>
      <c r="F573" s="1"/>
      <c r="L573" s="246"/>
      <c r="W573" s="1"/>
      <c r="Y573" s="1"/>
      <c r="AA573" s="1"/>
      <c r="AC573" s="1"/>
      <c r="AE573" s="1"/>
      <c r="AG573" s="1"/>
      <c r="AI573" s="1"/>
      <c r="AK573" s="1"/>
      <c r="AO573" s="1"/>
      <c r="AP573" s="1"/>
      <c r="AQ573" s="1"/>
      <c r="AR573" s="1"/>
      <c r="AT573" s="1"/>
      <c r="AU573" s="1"/>
      <c r="AV573" s="1"/>
      <c r="AW573" s="1"/>
      <c r="AX573" s="1"/>
      <c r="AY573" s="1"/>
    </row>
    <row r="574" spans="1:51" ht="15.75" customHeight="1" x14ac:dyDescent="0.2">
      <c r="A574" s="245"/>
      <c r="B574" s="244"/>
      <c r="C574" s="245"/>
      <c r="D574" s="1"/>
      <c r="E574" s="290"/>
      <c r="F574" s="1"/>
      <c r="L574" s="246"/>
      <c r="W574" s="1"/>
      <c r="Y574" s="1"/>
      <c r="AA574" s="1"/>
      <c r="AC574" s="1"/>
      <c r="AE574" s="1"/>
      <c r="AG574" s="1"/>
      <c r="AI574" s="1"/>
      <c r="AK574" s="1"/>
      <c r="AO574" s="1"/>
      <c r="AP574" s="1"/>
      <c r="AQ574" s="1"/>
      <c r="AR574" s="1"/>
      <c r="AT574" s="1"/>
      <c r="AU574" s="1"/>
      <c r="AV574" s="1"/>
      <c r="AW574" s="1"/>
      <c r="AX574" s="1"/>
      <c r="AY574" s="1"/>
    </row>
    <row r="575" spans="1:51" ht="15.75" customHeight="1" x14ac:dyDescent="0.2">
      <c r="A575" s="245"/>
      <c r="B575" s="244"/>
      <c r="C575" s="245"/>
      <c r="D575" s="1"/>
      <c r="E575" s="290"/>
      <c r="F575" s="1"/>
      <c r="L575" s="246"/>
      <c r="W575" s="1"/>
      <c r="Y575" s="1"/>
      <c r="AA575" s="1"/>
      <c r="AC575" s="1"/>
      <c r="AE575" s="1"/>
      <c r="AG575" s="1"/>
      <c r="AI575" s="1"/>
      <c r="AK575" s="1"/>
      <c r="AO575" s="1"/>
      <c r="AP575" s="1"/>
      <c r="AQ575" s="1"/>
      <c r="AR575" s="1"/>
      <c r="AT575" s="1"/>
      <c r="AU575" s="1"/>
      <c r="AV575" s="1"/>
      <c r="AW575" s="1"/>
      <c r="AX575" s="1"/>
      <c r="AY575" s="1"/>
    </row>
    <row r="576" spans="1:51" ht="15.75" customHeight="1" x14ac:dyDescent="0.2">
      <c r="A576" s="245"/>
      <c r="B576" s="244"/>
      <c r="C576" s="245"/>
      <c r="D576" s="1"/>
      <c r="E576" s="290"/>
      <c r="F576" s="1"/>
      <c r="L576" s="246"/>
      <c r="W576" s="1"/>
      <c r="Y576" s="1"/>
      <c r="AA576" s="1"/>
      <c r="AC576" s="1"/>
      <c r="AE576" s="1"/>
      <c r="AG576" s="1"/>
      <c r="AI576" s="1"/>
      <c r="AK576" s="1"/>
      <c r="AO576" s="1"/>
      <c r="AP576" s="1"/>
      <c r="AQ576" s="1"/>
      <c r="AR576" s="1"/>
      <c r="AT576" s="1"/>
      <c r="AU576" s="1"/>
      <c r="AV576" s="1"/>
      <c r="AW576" s="1"/>
      <c r="AX576" s="1"/>
      <c r="AY576" s="1"/>
    </row>
    <row r="577" spans="1:51" ht="15.75" customHeight="1" x14ac:dyDescent="0.2">
      <c r="A577" s="245"/>
      <c r="B577" s="244"/>
      <c r="C577" s="245"/>
      <c r="D577" s="1"/>
      <c r="E577" s="290"/>
      <c r="F577" s="1"/>
      <c r="L577" s="246"/>
      <c r="W577" s="1"/>
      <c r="Y577" s="1"/>
      <c r="AA577" s="1"/>
      <c r="AC577" s="1"/>
      <c r="AE577" s="1"/>
      <c r="AG577" s="1"/>
      <c r="AI577" s="1"/>
      <c r="AK577" s="1"/>
      <c r="AO577" s="1"/>
      <c r="AP577" s="1"/>
      <c r="AQ577" s="1"/>
      <c r="AR577" s="1"/>
      <c r="AT577" s="1"/>
      <c r="AU577" s="1"/>
      <c r="AV577" s="1"/>
      <c r="AW577" s="1"/>
      <c r="AX577" s="1"/>
      <c r="AY577" s="1"/>
    </row>
    <row r="578" spans="1:51" ht="15.75" customHeight="1" x14ac:dyDescent="0.2">
      <c r="A578" s="245"/>
      <c r="B578" s="244"/>
      <c r="C578" s="245"/>
      <c r="D578" s="1"/>
      <c r="E578" s="290"/>
      <c r="F578" s="1"/>
      <c r="L578" s="246"/>
      <c r="W578" s="1"/>
      <c r="Y578" s="1"/>
      <c r="AA578" s="1"/>
      <c r="AC578" s="1"/>
      <c r="AE578" s="1"/>
      <c r="AG578" s="1"/>
      <c r="AI578" s="1"/>
      <c r="AK578" s="1"/>
      <c r="AO578" s="1"/>
      <c r="AP578" s="1"/>
      <c r="AQ578" s="1"/>
      <c r="AR578" s="1"/>
      <c r="AT578" s="1"/>
      <c r="AU578" s="1"/>
      <c r="AV578" s="1"/>
      <c r="AW578" s="1"/>
      <c r="AX578" s="1"/>
      <c r="AY578" s="1"/>
    </row>
    <row r="579" spans="1:51" ht="15.75" customHeight="1" x14ac:dyDescent="0.2">
      <c r="A579" s="245"/>
      <c r="B579" s="244"/>
      <c r="C579" s="245"/>
      <c r="D579" s="1"/>
      <c r="E579" s="290"/>
      <c r="F579" s="1"/>
      <c r="L579" s="246"/>
      <c r="W579" s="1"/>
      <c r="Y579" s="1"/>
      <c r="AA579" s="1"/>
      <c r="AC579" s="1"/>
      <c r="AE579" s="1"/>
      <c r="AG579" s="1"/>
      <c r="AI579" s="1"/>
      <c r="AK579" s="1"/>
      <c r="AO579" s="1"/>
      <c r="AP579" s="1"/>
      <c r="AQ579" s="1"/>
      <c r="AR579" s="1"/>
      <c r="AT579" s="1"/>
      <c r="AU579" s="1"/>
      <c r="AV579" s="1"/>
      <c r="AW579" s="1"/>
      <c r="AX579" s="1"/>
      <c r="AY579" s="1"/>
    </row>
    <row r="580" spans="1:51" ht="15.75" customHeight="1" x14ac:dyDescent="0.2">
      <c r="A580" s="245"/>
      <c r="B580" s="244"/>
      <c r="C580" s="245"/>
      <c r="D580" s="1"/>
      <c r="E580" s="290"/>
      <c r="F580" s="1"/>
      <c r="L580" s="246"/>
      <c r="W580" s="1"/>
      <c r="Y580" s="1"/>
      <c r="AA580" s="1"/>
      <c r="AC580" s="1"/>
      <c r="AE580" s="1"/>
      <c r="AG580" s="1"/>
      <c r="AI580" s="1"/>
      <c r="AK580" s="1"/>
      <c r="AO580" s="1"/>
      <c r="AP580" s="1"/>
      <c r="AQ580" s="1"/>
      <c r="AR580" s="1"/>
      <c r="AT580" s="1"/>
      <c r="AU580" s="1"/>
      <c r="AV580" s="1"/>
      <c r="AW580" s="1"/>
      <c r="AX580" s="1"/>
      <c r="AY580" s="1"/>
    </row>
    <row r="581" spans="1:51" ht="15.75" customHeight="1" x14ac:dyDescent="0.2">
      <c r="A581" s="245"/>
      <c r="B581" s="244"/>
      <c r="C581" s="245"/>
      <c r="D581" s="1"/>
      <c r="E581" s="290"/>
      <c r="F581" s="1"/>
      <c r="L581" s="246"/>
      <c r="W581" s="1"/>
      <c r="Y581" s="1"/>
      <c r="AA581" s="1"/>
      <c r="AC581" s="1"/>
      <c r="AE581" s="1"/>
      <c r="AG581" s="1"/>
      <c r="AI581" s="1"/>
      <c r="AK581" s="1"/>
      <c r="AO581" s="1"/>
      <c r="AP581" s="1"/>
      <c r="AQ581" s="1"/>
      <c r="AR581" s="1"/>
      <c r="AT581" s="1"/>
      <c r="AU581" s="1"/>
      <c r="AV581" s="1"/>
      <c r="AW581" s="1"/>
      <c r="AX581" s="1"/>
      <c r="AY581" s="1"/>
    </row>
    <row r="582" spans="1:51" ht="15.75" customHeight="1" x14ac:dyDescent="0.2">
      <c r="A582" s="245"/>
      <c r="B582" s="244"/>
      <c r="C582" s="245"/>
      <c r="D582" s="1"/>
      <c r="E582" s="290"/>
      <c r="F582" s="1"/>
      <c r="L582" s="246"/>
      <c r="W582" s="1"/>
      <c r="Y582" s="1"/>
      <c r="AA582" s="1"/>
      <c r="AC582" s="1"/>
      <c r="AE582" s="1"/>
      <c r="AG582" s="1"/>
      <c r="AI582" s="1"/>
      <c r="AK582" s="1"/>
      <c r="AO582" s="1"/>
      <c r="AP582" s="1"/>
      <c r="AQ582" s="1"/>
      <c r="AR582" s="1"/>
      <c r="AT582" s="1"/>
      <c r="AU582" s="1"/>
      <c r="AV582" s="1"/>
      <c r="AW582" s="1"/>
      <c r="AX582" s="1"/>
      <c r="AY582" s="1"/>
    </row>
    <row r="583" spans="1:51" ht="15.75" customHeight="1" x14ac:dyDescent="0.2">
      <c r="A583" s="245"/>
      <c r="B583" s="244"/>
      <c r="C583" s="245"/>
      <c r="D583" s="1"/>
      <c r="E583" s="290"/>
      <c r="F583" s="1"/>
      <c r="L583" s="246"/>
      <c r="W583" s="1"/>
      <c r="Y583" s="1"/>
      <c r="AA583" s="1"/>
      <c r="AC583" s="1"/>
      <c r="AE583" s="1"/>
      <c r="AG583" s="1"/>
      <c r="AI583" s="1"/>
      <c r="AK583" s="1"/>
      <c r="AO583" s="1"/>
      <c r="AP583" s="1"/>
      <c r="AQ583" s="1"/>
      <c r="AR583" s="1"/>
      <c r="AT583" s="1"/>
      <c r="AU583" s="1"/>
      <c r="AV583" s="1"/>
      <c r="AW583" s="1"/>
      <c r="AX583" s="1"/>
      <c r="AY583" s="1"/>
    </row>
    <row r="584" spans="1:51" ht="15.75" customHeight="1" x14ac:dyDescent="0.2">
      <c r="A584" s="245"/>
      <c r="B584" s="244"/>
      <c r="C584" s="245"/>
      <c r="D584" s="1"/>
      <c r="E584" s="290"/>
      <c r="F584" s="1"/>
      <c r="L584" s="246"/>
      <c r="W584" s="1"/>
      <c r="Y584" s="1"/>
      <c r="AA584" s="1"/>
      <c r="AC584" s="1"/>
      <c r="AE584" s="1"/>
      <c r="AG584" s="1"/>
      <c r="AI584" s="1"/>
      <c r="AK584" s="1"/>
      <c r="AO584" s="1"/>
      <c r="AP584" s="1"/>
      <c r="AQ584" s="1"/>
      <c r="AR584" s="1"/>
      <c r="AT584" s="1"/>
      <c r="AU584" s="1"/>
      <c r="AV584" s="1"/>
      <c r="AW584" s="1"/>
      <c r="AX584" s="1"/>
      <c r="AY584" s="1"/>
    </row>
    <row r="585" spans="1:51" ht="15.75" customHeight="1" x14ac:dyDescent="0.2">
      <c r="A585" s="245"/>
      <c r="B585" s="244"/>
      <c r="C585" s="245"/>
      <c r="D585" s="1"/>
      <c r="E585" s="290"/>
      <c r="F585" s="1"/>
      <c r="L585" s="246"/>
      <c r="W585" s="1"/>
      <c r="Y585" s="1"/>
      <c r="AA585" s="1"/>
      <c r="AC585" s="1"/>
      <c r="AE585" s="1"/>
      <c r="AG585" s="1"/>
      <c r="AI585" s="1"/>
      <c r="AK585" s="1"/>
      <c r="AO585" s="1"/>
      <c r="AP585" s="1"/>
      <c r="AQ585" s="1"/>
      <c r="AR585" s="1"/>
      <c r="AT585" s="1"/>
      <c r="AU585" s="1"/>
      <c r="AV585" s="1"/>
      <c r="AW585" s="1"/>
      <c r="AX585" s="1"/>
      <c r="AY585" s="1"/>
    </row>
    <row r="586" spans="1:51" ht="15.75" customHeight="1" x14ac:dyDescent="0.2">
      <c r="A586" s="245"/>
      <c r="B586" s="244"/>
      <c r="C586" s="245"/>
      <c r="D586" s="1"/>
      <c r="E586" s="290"/>
      <c r="F586" s="1"/>
      <c r="L586" s="246"/>
      <c r="W586" s="1"/>
      <c r="Y586" s="1"/>
      <c r="AA586" s="1"/>
      <c r="AC586" s="1"/>
      <c r="AE586" s="1"/>
      <c r="AG586" s="1"/>
      <c r="AI586" s="1"/>
      <c r="AK586" s="1"/>
      <c r="AO586" s="1"/>
      <c r="AP586" s="1"/>
      <c r="AQ586" s="1"/>
      <c r="AR586" s="1"/>
      <c r="AT586" s="1"/>
      <c r="AU586" s="1"/>
      <c r="AV586" s="1"/>
      <c r="AW586" s="1"/>
      <c r="AX586" s="1"/>
      <c r="AY586" s="1"/>
    </row>
    <row r="587" spans="1:51" ht="15.75" customHeight="1" x14ac:dyDescent="0.2">
      <c r="A587" s="245"/>
      <c r="B587" s="244"/>
      <c r="C587" s="245"/>
      <c r="D587" s="1"/>
      <c r="E587" s="290"/>
      <c r="F587" s="1"/>
      <c r="L587" s="246"/>
      <c r="W587" s="1"/>
      <c r="Y587" s="1"/>
      <c r="AA587" s="1"/>
      <c r="AC587" s="1"/>
      <c r="AE587" s="1"/>
      <c r="AG587" s="1"/>
      <c r="AI587" s="1"/>
      <c r="AK587" s="1"/>
      <c r="AO587" s="1"/>
      <c r="AP587" s="1"/>
      <c r="AQ587" s="1"/>
      <c r="AR587" s="1"/>
      <c r="AT587" s="1"/>
      <c r="AU587" s="1"/>
      <c r="AV587" s="1"/>
      <c r="AW587" s="1"/>
      <c r="AX587" s="1"/>
      <c r="AY587" s="1"/>
    </row>
    <row r="588" spans="1:51" ht="15.75" customHeight="1" x14ac:dyDescent="0.2">
      <c r="A588" s="245"/>
      <c r="B588" s="244"/>
      <c r="C588" s="245"/>
      <c r="D588" s="1"/>
      <c r="E588" s="290"/>
      <c r="F588" s="1"/>
      <c r="L588" s="246"/>
      <c r="W588" s="1"/>
      <c r="Y588" s="1"/>
      <c r="AA588" s="1"/>
      <c r="AC588" s="1"/>
      <c r="AE588" s="1"/>
      <c r="AG588" s="1"/>
      <c r="AI588" s="1"/>
      <c r="AK588" s="1"/>
      <c r="AO588" s="1"/>
      <c r="AP588" s="1"/>
      <c r="AQ588" s="1"/>
      <c r="AR588" s="1"/>
      <c r="AT588" s="1"/>
      <c r="AU588" s="1"/>
      <c r="AV588" s="1"/>
      <c r="AW588" s="1"/>
      <c r="AX588" s="1"/>
      <c r="AY588" s="1"/>
    </row>
    <row r="589" spans="1:51" ht="15.75" customHeight="1" x14ac:dyDescent="0.2">
      <c r="A589" s="245"/>
      <c r="B589" s="244"/>
      <c r="C589" s="245"/>
      <c r="D589" s="1"/>
      <c r="E589" s="290"/>
      <c r="F589" s="1"/>
      <c r="L589" s="246"/>
      <c r="W589" s="1"/>
      <c r="Y589" s="1"/>
      <c r="AA589" s="1"/>
      <c r="AC589" s="1"/>
      <c r="AE589" s="1"/>
      <c r="AG589" s="1"/>
      <c r="AI589" s="1"/>
      <c r="AK589" s="1"/>
      <c r="AO589" s="1"/>
      <c r="AP589" s="1"/>
      <c r="AQ589" s="1"/>
      <c r="AR589" s="1"/>
      <c r="AT589" s="1"/>
      <c r="AU589" s="1"/>
      <c r="AV589" s="1"/>
      <c r="AW589" s="1"/>
      <c r="AX589" s="1"/>
      <c r="AY589" s="1"/>
    </row>
    <row r="590" spans="1:51" ht="15.75" customHeight="1" x14ac:dyDescent="0.2">
      <c r="A590" s="245"/>
      <c r="B590" s="244"/>
      <c r="C590" s="245"/>
      <c r="D590" s="1"/>
      <c r="E590" s="290"/>
      <c r="F590" s="1"/>
      <c r="L590" s="246"/>
      <c r="W590" s="1"/>
      <c r="Y590" s="1"/>
      <c r="AA590" s="1"/>
      <c r="AC590" s="1"/>
      <c r="AE590" s="1"/>
      <c r="AG590" s="1"/>
      <c r="AI590" s="1"/>
      <c r="AK590" s="1"/>
      <c r="AO590" s="1"/>
      <c r="AP590" s="1"/>
      <c r="AQ590" s="1"/>
      <c r="AR590" s="1"/>
      <c r="AT590" s="1"/>
      <c r="AU590" s="1"/>
      <c r="AV590" s="1"/>
      <c r="AW590" s="1"/>
      <c r="AX590" s="1"/>
      <c r="AY590" s="1"/>
    </row>
    <row r="591" spans="1:51" ht="15.75" customHeight="1" x14ac:dyDescent="0.2">
      <c r="A591" s="245"/>
      <c r="B591" s="244"/>
      <c r="C591" s="245"/>
      <c r="D591" s="1"/>
      <c r="E591" s="290"/>
      <c r="F591" s="1"/>
      <c r="L591" s="246"/>
      <c r="W591" s="1"/>
      <c r="Y591" s="1"/>
      <c r="AA591" s="1"/>
      <c r="AC591" s="1"/>
      <c r="AE591" s="1"/>
      <c r="AG591" s="1"/>
      <c r="AI591" s="1"/>
      <c r="AK591" s="1"/>
      <c r="AO591" s="1"/>
      <c r="AP591" s="1"/>
      <c r="AQ591" s="1"/>
      <c r="AR591" s="1"/>
      <c r="AT591" s="1"/>
      <c r="AU591" s="1"/>
      <c r="AV591" s="1"/>
      <c r="AW591" s="1"/>
      <c r="AX591" s="1"/>
      <c r="AY591" s="1"/>
    </row>
    <row r="592" spans="1:51" ht="15.75" customHeight="1" x14ac:dyDescent="0.2">
      <c r="A592" s="245"/>
      <c r="B592" s="244"/>
      <c r="C592" s="245"/>
      <c r="D592" s="1"/>
      <c r="E592" s="290"/>
      <c r="F592" s="1"/>
      <c r="L592" s="246"/>
      <c r="W592" s="1"/>
      <c r="Y592" s="1"/>
      <c r="AA592" s="1"/>
      <c r="AC592" s="1"/>
      <c r="AE592" s="1"/>
      <c r="AG592" s="1"/>
      <c r="AI592" s="1"/>
      <c r="AK592" s="1"/>
      <c r="AO592" s="1"/>
      <c r="AP592" s="1"/>
      <c r="AQ592" s="1"/>
      <c r="AR592" s="1"/>
      <c r="AT592" s="1"/>
      <c r="AU592" s="1"/>
      <c r="AV592" s="1"/>
      <c r="AW592" s="1"/>
      <c r="AX592" s="1"/>
      <c r="AY592" s="1"/>
    </row>
    <row r="593" spans="1:51" ht="15.75" customHeight="1" x14ac:dyDescent="0.2">
      <c r="A593" s="245"/>
      <c r="B593" s="244"/>
      <c r="C593" s="245"/>
      <c r="D593" s="1"/>
      <c r="E593" s="290"/>
      <c r="F593" s="1"/>
      <c r="L593" s="246"/>
      <c r="W593" s="1"/>
      <c r="Y593" s="1"/>
      <c r="AA593" s="1"/>
      <c r="AC593" s="1"/>
      <c r="AE593" s="1"/>
      <c r="AG593" s="1"/>
      <c r="AI593" s="1"/>
      <c r="AK593" s="1"/>
      <c r="AO593" s="1"/>
      <c r="AP593" s="1"/>
      <c r="AQ593" s="1"/>
      <c r="AR593" s="1"/>
      <c r="AT593" s="1"/>
      <c r="AU593" s="1"/>
      <c r="AV593" s="1"/>
      <c r="AW593" s="1"/>
      <c r="AX593" s="1"/>
      <c r="AY593" s="1"/>
    </row>
    <row r="594" spans="1:51" ht="15.75" customHeight="1" x14ac:dyDescent="0.2">
      <c r="A594" s="245"/>
      <c r="B594" s="244"/>
      <c r="C594" s="245"/>
      <c r="D594" s="1"/>
      <c r="E594" s="290"/>
      <c r="F594" s="1"/>
      <c r="L594" s="246"/>
      <c r="W594" s="1"/>
      <c r="Y594" s="1"/>
      <c r="AA594" s="1"/>
      <c r="AC594" s="1"/>
      <c r="AE594" s="1"/>
      <c r="AG594" s="1"/>
      <c r="AI594" s="1"/>
      <c r="AK594" s="1"/>
      <c r="AO594" s="1"/>
      <c r="AP594" s="1"/>
      <c r="AQ594" s="1"/>
      <c r="AR594" s="1"/>
      <c r="AT594" s="1"/>
      <c r="AU594" s="1"/>
      <c r="AV594" s="1"/>
      <c r="AW594" s="1"/>
      <c r="AX594" s="1"/>
      <c r="AY594" s="1"/>
    </row>
    <row r="595" spans="1:51" ht="15.75" customHeight="1" x14ac:dyDescent="0.2">
      <c r="A595" s="245"/>
      <c r="B595" s="244"/>
      <c r="C595" s="245"/>
      <c r="D595" s="1"/>
      <c r="E595" s="290"/>
      <c r="F595" s="1"/>
      <c r="L595" s="246"/>
      <c r="W595" s="1"/>
      <c r="Y595" s="1"/>
      <c r="AA595" s="1"/>
      <c r="AC595" s="1"/>
      <c r="AE595" s="1"/>
      <c r="AG595" s="1"/>
      <c r="AI595" s="1"/>
      <c r="AK595" s="1"/>
      <c r="AO595" s="1"/>
      <c r="AP595" s="1"/>
      <c r="AQ595" s="1"/>
      <c r="AR595" s="1"/>
      <c r="AT595" s="1"/>
      <c r="AU595" s="1"/>
      <c r="AV595" s="1"/>
      <c r="AW595" s="1"/>
      <c r="AX595" s="1"/>
      <c r="AY595" s="1"/>
    </row>
    <row r="596" spans="1:51" ht="15.75" customHeight="1" x14ac:dyDescent="0.2">
      <c r="A596" s="245"/>
      <c r="B596" s="244"/>
      <c r="C596" s="245"/>
      <c r="D596" s="1"/>
      <c r="E596" s="290"/>
      <c r="F596" s="1"/>
      <c r="L596" s="246"/>
      <c r="W596" s="1"/>
      <c r="Y596" s="1"/>
      <c r="AA596" s="1"/>
      <c r="AC596" s="1"/>
      <c r="AE596" s="1"/>
      <c r="AG596" s="1"/>
      <c r="AI596" s="1"/>
      <c r="AK596" s="1"/>
      <c r="AO596" s="1"/>
      <c r="AP596" s="1"/>
      <c r="AQ596" s="1"/>
      <c r="AR596" s="1"/>
      <c r="AT596" s="1"/>
      <c r="AU596" s="1"/>
      <c r="AV596" s="1"/>
      <c r="AW596" s="1"/>
      <c r="AX596" s="1"/>
      <c r="AY596" s="1"/>
    </row>
    <row r="597" spans="1:51" ht="15.75" customHeight="1" x14ac:dyDescent="0.2">
      <c r="A597" s="245"/>
      <c r="B597" s="244"/>
      <c r="C597" s="245"/>
      <c r="D597" s="1"/>
      <c r="E597" s="290"/>
      <c r="F597" s="1"/>
      <c r="L597" s="246"/>
      <c r="W597" s="1"/>
      <c r="Y597" s="1"/>
      <c r="AA597" s="1"/>
      <c r="AC597" s="1"/>
      <c r="AE597" s="1"/>
      <c r="AG597" s="1"/>
      <c r="AI597" s="1"/>
      <c r="AK597" s="1"/>
      <c r="AO597" s="1"/>
      <c r="AP597" s="1"/>
      <c r="AQ597" s="1"/>
      <c r="AR597" s="1"/>
      <c r="AT597" s="1"/>
      <c r="AU597" s="1"/>
      <c r="AV597" s="1"/>
      <c r="AW597" s="1"/>
      <c r="AX597" s="1"/>
      <c r="AY597" s="1"/>
    </row>
    <row r="598" spans="1:51" ht="15.75" customHeight="1" x14ac:dyDescent="0.2">
      <c r="A598" s="245"/>
      <c r="B598" s="244"/>
      <c r="C598" s="245"/>
      <c r="D598" s="1"/>
      <c r="E598" s="290"/>
      <c r="F598" s="1"/>
      <c r="L598" s="246"/>
      <c r="W598" s="1"/>
      <c r="Y598" s="1"/>
      <c r="AA598" s="1"/>
      <c r="AC598" s="1"/>
      <c r="AE598" s="1"/>
      <c r="AG598" s="1"/>
      <c r="AI598" s="1"/>
      <c r="AK598" s="1"/>
      <c r="AO598" s="1"/>
      <c r="AP598" s="1"/>
      <c r="AQ598" s="1"/>
      <c r="AR598" s="1"/>
      <c r="AT598" s="1"/>
      <c r="AU598" s="1"/>
      <c r="AV598" s="1"/>
      <c r="AW598" s="1"/>
      <c r="AX598" s="1"/>
      <c r="AY598" s="1"/>
    </row>
    <row r="599" spans="1:51" ht="15.75" customHeight="1" x14ac:dyDescent="0.2">
      <c r="A599" s="245"/>
      <c r="B599" s="244"/>
      <c r="C599" s="245"/>
      <c r="D599" s="1"/>
      <c r="E599" s="290"/>
      <c r="F599" s="1"/>
      <c r="L599" s="246"/>
      <c r="W599" s="1"/>
      <c r="Y599" s="1"/>
      <c r="AA599" s="1"/>
      <c r="AC599" s="1"/>
      <c r="AE599" s="1"/>
      <c r="AG599" s="1"/>
      <c r="AI599" s="1"/>
      <c r="AK599" s="1"/>
      <c r="AO599" s="1"/>
      <c r="AP599" s="1"/>
      <c r="AQ599" s="1"/>
      <c r="AR599" s="1"/>
      <c r="AT599" s="1"/>
      <c r="AU599" s="1"/>
      <c r="AV599" s="1"/>
      <c r="AW599" s="1"/>
      <c r="AX599" s="1"/>
      <c r="AY599" s="1"/>
    </row>
    <row r="600" spans="1:51" ht="15.75" customHeight="1" x14ac:dyDescent="0.2">
      <c r="A600" s="245"/>
      <c r="B600" s="244"/>
      <c r="C600" s="245"/>
      <c r="D600" s="1"/>
      <c r="E600" s="290"/>
      <c r="F600" s="1"/>
      <c r="L600" s="246"/>
      <c r="W600" s="1"/>
      <c r="Y600" s="1"/>
      <c r="AA600" s="1"/>
      <c r="AC600" s="1"/>
      <c r="AE600" s="1"/>
      <c r="AG600" s="1"/>
      <c r="AI600" s="1"/>
      <c r="AK600" s="1"/>
      <c r="AO600" s="1"/>
      <c r="AP600" s="1"/>
      <c r="AQ600" s="1"/>
      <c r="AR600" s="1"/>
      <c r="AT600" s="1"/>
      <c r="AU600" s="1"/>
      <c r="AV600" s="1"/>
      <c r="AW600" s="1"/>
      <c r="AX600" s="1"/>
      <c r="AY600" s="1"/>
    </row>
    <row r="601" spans="1:51" ht="15.75" customHeight="1" x14ac:dyDescent="0.2">
      <c r="A601" s="245"/>
      <c r="B601" s="244"/>
      <c r="C601" s="245"/>
      <c r="D601" s="1"/>
      <c r="E601" s="290"/>
      <c r="F601" s="1"/>
      <c r="L601" s="246"/>
      <c r="W601" s="1"/>
      <c r="Y601" s="1"/>
      <c r="AA601" s="1"/>
      <c r="AC601" s="1"/>
      <c r="AE601" s="1"/>
      <c r="AG601" s="1"/>
      <c r="AI601" s="1"/>
      <c r="AK601" s="1"/>
      <c r="AO601" s="1"/>
      <c r="AP601" s="1"/>
      <c r="AQ601" s="1"/>
      <c r="AR601" s="1"/>
      <c r="AT601" s="1"/>
      <c r="AU601" s="1"/>
      <c r="AV601" s="1"/>
      <c r="AW601" s="1"/>
      <c r="AX601" s="1"/>
      <c r="AY601" s="1"/>
    </row>
    <row r="602" spans="1:51" ht="15.75" customHeight="1" x14ac:dyDescent="0.2">
      <c r="A602" s="245"/>
      <c r="B602" s="244"/>
      <c r="C602" s="245"/>
      <c r="D602" s="1"/>
      <c r="E602" s="290"/>
      <c r="F602" s="1"/>
      <c r="L602" s="246"/>
      <c r="W602" s="1"/>
      <c r="Y602" s="1"/>
      <c r="AA602" s="1"/>
      <c r="AC602" s="1"/>
      <c r="AE602" s="1"/>
      <c r="AG602" s="1"/>
      <c r="AI602" s="1"/>
      <c r="AK602" s="1"/>
      <c r="AO602" s="1"/>
      <c r="AP602" s="1"/>
      <c r="AQ602" s="1"/>
      <c r="AR602" s="1"/>
      <c r="AT602" s="1"/>
      <c r="AU602" s="1"/>
      <c r="AV602" s="1"/>
      <c r="AW602" s="1"/>
      <c r="AX602" s="1"/>
      <c r="AY602" s="1"/>
    </row>
    <row r="603" spans="1:51" ht="15.75" customHeight="1" x14ac:dyDescent="0.2">
      <c r="A603" s="245"/>
      <c r="B603" s="244"/>
      <c r="C603" s="245"/>
      <c r="D603" s="1"/>
      <c r="E603" s="290"/>
      <c r="F603" s="1"/>
      <c r="L603" s="246"/>
      <c r="W603" s="1"/>
      <c r="Y603" s="1"/>
      <c r="AA603" s="1"/>
      <c r="AC603" s="1"/>
      <c r="AE603" s="1"/>
      <c r="AG603" s="1"/>
      <c r="AI603" s="1"/>
      <c r="AK603" s="1"/>
      <c r="AO603" s="1"/>
      <c r="AP603" s="1"/>
      <c r="AQ603" s="1"/>
      <c r="AR603" s="1"/>
      <c r="AT603" s="1"/>
      <c r="AU603" s="1"/>
      <c r="AV603" s="1"/>
      <c r="AW603" s="1"/>
      <c r="AX603" s="1"/>
      <c r="AY603" s="1"/>
    </row>
    <row r="604" spans="1:51" ht="15.75" customHeight="1" x14ac:dyDescent="0.2">
      <c r="A604" s="245"/>
      <c r="B604" s="244"/>
      <c r="C604" s="245"/>
      <c r="D604" s="1"/>
      <c r="E604" s="290"/>
      <c r="F604" s="1"/>
      <c r="L604" s="246"/>
      <c r="W604" s="1"/>
      <c r="Y604" s="1"/>
      <c r="AA604" s="1"/>
      <c r="AC604" s="1"/>
      <c r="AE604" s="1"/>
      <c r="AG604" s="1"/>
      <c r="AI604" s="1"/>
      <c r="AK604" s="1"/>
      <c r="AO604" s="1"/>
      <c r="AP604" s="1"/>
      <c r="AQ604" s="1"/>
      <c r="AR604" s="1"/>
      <c r="AT604" s="1"/>
      <c r="AU604" s="1"/>
      <c r="AV604" s="1"/>
      <c r="AW604" s="1"/>
      <c r="AX604" s="1"/>
      <c r="AY604" s="1"/>
    </row>
    <row r="605" spans="1:51" ht="15.75" customHeight="1" x14ac:dyDescent="0.2">
      <c r="A605" s="245"/>
      <c r="B605" s="244"/>
      <c r="C605" s="245"/>
      <c r="D605" s="1"/>
      <c r="E605" s="290"/>
      <c r="F605" s="1"/>
      <c r="L605" s="246"/>
      <c r="W605" s="1"/>
      <c r="Y605" s="1"/>
      <c r="AA605" s="1"/>
      <c r="AC605" s="1"/>
      <c r="AE605" s="1"/>
      <c r="AG605" s="1"/>
      <c r="AI605" s="1"/>
      <c r="AK605" s="1"/>
      <c r="AO605" s="1"/>
      <c r="AP605" s="1"/>
      <c r="AQ605" s="1"/>
      <c r="AR605" s="1"/>
      <c r="AT605" s="1"/>
      <c r="AU605" s="1"/>
      <c r="AV605" s="1"/>
      <c r="AW605" s="1"/>
      <c r="AX605" s="1"/>
      <c r="AY605" s="1"/>
    </row>
    <row r="606" spans="1:51" ht="15.75" customHeight="1" x14ac:dyDescent="0.2">
      <c r="A606" s="245"/>
      <c r="B606" s="244"/>
      <c r="C606" s="245"/>
      <c r="D606" s="1"/>
      <c r="E606" s="290"/>
      <c r="F606" s="1"/>
      <c r="L606" s="246"/>
      <c r="W606" s="1"/>
      <c r="Y606" s="1"/>
      <c r="AA606" s="1"/>
      <c r="AC606" s="1"/>
      <c r="AE606" s="1"/>
      <c r="AG606" s="1"/>
      <c r="AI606" s="1"/>
      <c r="AK606" s="1"/>
      <c r="AO606" s="1"/>
      <c r="AP606" s="1"/>
      <c r="AQ606" s="1"/>
      <c r="AR606" s="1"/>
      <c r="AT606" s="1"/>
      <c r="AU606" s="1"/>
      <c r="AV606" s="1"/>
      <c r="AW606" s="1"/>
      <c r="AX606" s="1"/>
      <c r="AY606" s="1"/>
    </row>
    <row r="607" spans="1:51" ht="15.75" customHeight="1" x14ac:dyDescent="0.2">
      <c r="A607" s="245"/>
      <c r="B607" s="244"/>
      <c r="C607" s="245"/>
      <c r="D607" s="1"/>
      <c r="E607" s="290"/>
      <c r="F607" s="1"/>
      <c r="L607" s="246"/>
      <c r="W607" s="1"/>
      <c r="Y607" s="1"/>
      <c r="AA607" s="1"/>
      <c r="AC607" s="1"/>
      <c r="AE607" s="1"/>
      <c r="AG607" s="1"/>
      <c r="AI607" s="1"/>
      <c r="AK607" s="1"/>
      <c r="AO607" s="1"/>
      <c r="AP607" s="1"/>
      <c r="AQ607" s="1"/>
      <c r="AR607" s="1"/>
      <c r="AT607" s="1"/>
      <c r="AU607" s="1"/>
      <c r="AV607" s="1"/>
      <c r="AW607" s="1"/>
      <c r="AX607" s="1"/>
      <c r="AY607" s="1"/>
    </row>
    <row r="608" spans="1:51" ht="15.75" customHeight="1" x14ac:dyDescent="0.2">
      <c r="A608" s="245"/>
      <c r="B608" s="244"/>
      <c r="C608" s="245"/>
      <c r="D608" s="1"/>
      <c r="E608" s="290"/>
      <c r="F608" s="1"/>
      <c r="L608" s="246"/>
      <c r="W608" s="1"/>
      <c r="Y608" s="1"/>
      <c r="AA608" s="1"/>
      <c r="AC608" s="1"/>
      <c r="AE608" s="1"/>
      <c r="AG608" s="1"/>
      <c r="AI608" s="1"/>
      <c r="AK608" s="1"/>
      <c r="AO608" s="1"/>
      <c r="AP608" s="1"/>
      <c r="AQ608" s="1"/>
      <c r="AR608" s="1"/>
      <c r="AT608" s="1"/>
      <c r="AU608" s="1"/>
      <c r="AV608" s="1"/>
      <c r="AW608" s="1"/>
      <c r="AX608" s="1"/>
      <c r="AY608" s="1"/>
    </row>
    <row r="609" spans="1:51" ht="15.75" customHeight="1" x14ac:dyDescent="0.2">
      <c r="A609" s="245"/>
      <c r="B609" s="244"/>
      <c r="C609" s="245"/>
      <c r="D609" s="1"/>
      <c r="E609" s="290"/>
      <c r="F609" s="1"/>
      <c r="L609" s="246"/>
      <c r="W609" s="1"/>
      <c r="Y609" s="1"/>
      <c r="AA609" s="1"/>
      <c r="AC609" s="1"/>
      <c r="AE609" s="1"/>
      <c r="AG609" s="1"/>
      <c r="AI609" s="1"/>
      <c r="AK609" s="1"/>
      <c r="AO609" s="1"/>
      <c r="AP609" s="1"/>
      <c r="AQ609" s="1"/>
      <c r="AR609" s="1"/>
      <c r="AT609" s="1"/>
      <c r="AU609" s="1"/>
      <c r="AV609" s="1"/>
      <c r="AW609" s="1"/>
      <c r="AX609" s="1"/>
      <c r="AY609" s="1"/>
    </row>
    <row r="610" spans="1:51" ht="15.75" customHeight="1" x14ac:dyDescent="0.2">
      <c r="A610" s="245"/>
      <c r="B610" s="244"/>
      <c r="C610" s="245"/>
      <c r="D610" s="1"/>
      <c r="E610" s="290"/>
      <c r="F610" s="1"/>
      <c r="L610" s="246"/>
      <c r="W610" s="1"/>
      <c r="Y610" s="1"/>
      <c r="AA610" s="1"/>
      <c r="AC610" s="1"/>
      <c r="AE610" s="1"/>
      <c r="AG610" s="1"/>
      <c r="AI610" s="1"/>
      <c r="AK610" s="1"/>
      <c r="AO610" s="1"/>
      <c r="AP610" s="1"/>
      <c r="AQ610" s="1"/>
      <c r="AR610" s="1"/>
      <c r="AT610" s="1"/>
      <c r="AU610" s="1"/>
      <c r="AV610" s="1"/>
      <c r="AW610" s="1"/>
      <c r="AX610" s="1"/>
      <c r="AY610" s="1"/>
    </row>
    <row r="611" spans="1:51" ht="15.75" customHeight="1" x14ac:dyDescent="0.2">
      <c r="A611" s="245"/>
      <c r="B611" s="244"/>
      <c r="C611" s="245"/>
      <c r="D611" s="1"/>
      <c r="E611" s="290"/>
      <c r="F611" s="1"/>
      <c r="L611" s="246"/>
      <c r="W611" s="1"/>
      <c r="Y611" s="1"/>
      <c r="AA611" s="1"/>
      <c r="AC611" s="1"/>
      <c r="AE611" s="1"/>
      <c r="AG611" s="1"/>
      <c r="AI611" s="1"/>
      <c r="AK611" s="1"/>
      <c r="AO611" s="1"/>
      <c r="AP611" s="1"/>
      <c r="AQ611" s="1"/>
      <c r="AR611" s="1"/>
      <c r="AT611" s="1"/>
      <c r="AU611" s="1"/>
      <c r="AV611" s="1"/>
      <c r="AW611" s="1"/>
      <c r="AX611" s="1"/>
      <c r="AY611" s="1"/>
    </row>
    <row r="612" spans="1:51" ht="15.75" customHeight="1" x14ac:dyDescent="0.2">
      <c r="A612" s="245"/>
      <c r="B612" s="244"/>
      <c r="C612" s="245"/>
      <c r="D612" s="1"/>
      <c r="E612" s="290"/>
      <c r="F612" s="1"/>
      <c r="L612" s="246"/>
      <c r="W612" s="1"/>
      <c r="Y612" s="1"/>
      <c r="AA612" s="1"/>
      <c r="AC612" s="1"/>
      <c r="AE612" s="1"/>
      <c r="AG612" s="1"/>
      <c r="AI612" s="1"/>
      <c r="AK612" s="1"/>
      <c r="AO612" s="1"/>
      <c r="AP612" s="1"/>
      <c r="AQ612" s="1"/>
      <c r="AR612" s="1"/>
      <c r="AT612" s="1"/>
      <c r="AU612" s="1"/>
      <c r="AV612" s="1"/>
      <c r="AW612" s="1"/>
      <c r="AX612" s="1"/>
      <c r="AY612" s="1"/>
    </row>
    <row r="613" spans="1:51" ht="15.75" customHeight="1" x14ac:dyDescent="0.2">
      <c r="A613" s="245"/>
      <c r="B613" s="244"/>
      <c r="C613" s="245"/>
      <c r="D613" s="1"/>
      <c r="E613" s="290"/>
      <c r="F613" s="1"/>
      <c r="L613" s="246"/>
      <c r="W613" s="1"/>
      <c r="Y613" s="1"/>
      <c r="AA613" s="1"/>
      <c r="AC613" s="1"/>
      <c r="AE613" s="1"/>
      <c r="AG613" s="1"/>
      <c r="AI613" s="1"/>
      <c r="AK613" s="1"/>
      <c r="AO613" s="1"/>
      <c r="AP613" s="1"/>
      <c r="AQ613" s="1"/>
      <c r="AR613" s="1"/>
      <c r="AT613" s="1"/>
      <c r="AU613" s="1"/>
      <c r="AV613" s="1"/>
      <c r="AW613" s="1"/>
      <c r="AX613" s="1"/>
      <c r="AY613" s="1"/>
    </row>
    <row r="614" spans="1:51" ht="15.75" customHeight="1" x14ac:dyDescent="0.2">
      <c r="A614" s="245"/>
      <c r="B614" s="244"/>
      <c r="C614" s="245"/>
      <c r="D614" s="1"/>
      <c r="E614" s="290"/>
      <c r="F614" s="1"/>
      <c r="L614" s="246"/>
      <c r="W614" s="1"/>
      <c r="Y614" s="1"/>
      <c r="AA614" s="1"/>
      <c r="AC614" s="1"/>
      <c r="AE614" s="1"/>
      <c r="AG614" s="1"/>
      <c r="AI614" s="1"/>
      <c r="AK614" s="1"/>
      <c r="AO614" s="1"/>
      <c r="AP614" s="1"/>
      <c r="AQ614" s="1"/>
      <c r="AR614" s="1"/>
      <c r="AT614" s="1"/>
      <c r="AU614" s="1"/>
      <c r="AV614" s="1"/>
      <c r="AW614" s="1"/>
      <c r="AX614" s="1"/>
      <c r="AY614" s="1"/>
    </row>
    <row r="615" spans="1:51" ht="15.75" customHeight="1" x14ac:dyDescent="0.2">
      <c r="A615" s="245"/>
      <c r="B615" s="244"/>
      <c r="C615" s="245"/>
      <c r="D615" s="1"/>
      <c r="E615" s="290"/>
      <c r="F615" s="1"/>
      <c r="L615" s="246"/>
      <c r="W615" s="1"/>
      <c r="Y615" s="1"/>
      <c r="AA615" s="1"/>
      <c r="AC615" s="1"/>
      <c r="AE615" s="1"/>
      <c r="AG615" s="1"/>
      <c r="AI615" s="1"/>
      <c r="AK615" s="1"/>
      <c r="AO615" s="1"/>
      <c r="AP615" s="1"/>
      <c r="AQ615" s="1"/>
      <c r="AR615" s="1"/>
      <c r="AT615" s="1"/>
      <c r="AU615" s="1"/>
      <c r="AV615" s="1"/>
      <c r="AW615" s="1"/>
      <c r="AX615" s="1"/>
      <c r="AY615" s="1"/>
    </row>
    <row r="616" spans="1:51" ht="15.75" customHeight="1" x14ac:dyDescent="0.2">
      <c r="A616" s="245"/>
      <c r="B616" s="244"/>
      <c r="C616" s="245"/>
      <c r="D616" s="1"/>
      <c r="E616" s="290"/>
      <c r="F616" s="1"/>
      <c r="L616" s="246"/>
      <c r="W616" s="1"/>
      <c r="Y616" s="1"/>
      <c r="AA616" s="1"/>
      <c r="AC616" s="1"/>
      <c r="AE616" s="1"/>
      <c r="AG616" s="1"/>
      <c r="AI616" s="1"/>
      <c r="AK616" s="1"/>
      <c r="AO616" s="1"/>
      <c r="AP616" s="1"/>
      <c r="AQ616" s="1"/>
      <c r="AR616" s="1"/>
      <c r="AT616" s="1"/>
      <c r="AU616" s="1"/>
      <c r="AV616" s="1"/>
      <c r="AW616" s="1"/>
      <c r="AX616" s="1"/>
      <c r="AY616" s="1"/>
    </row>
    <row r="617" spans="1:51" ht="15.75" customHeight="1" x14ac:dyDescent="0.2">
      <c r="A617" s="245"/>
      <c r="B617" s="244"/>
      <c r="C617" s="245"/>
      <c r="D617" s="1"/>
      <c r="E617" s="290"/>
      <c r="F617" s="1"/>
      <c r="L617" s="246"/>
      <c r="W617" s="1"/>
      <c r="Y617" s="1"/>
      <c r="AA617" s="1"/>
      <c r="AC617" s="1"/>
      <c r="AE617" s="1"/>
      <c r="AG617" s="1"/>
      <c r="AI617" s="1"/>
      <c r="AK617" s="1"/>
      <c r="AO617" s="1"/>
      <c r="AP617" s="1"/>
      <c r="AQ617" s="1"/>
      <c r="AR617" s="1"/>
      <c r="AT617" s="1"/>
      <c r="AU617" s="1"/>
      <c r="AV617" s="1"/>
      <c r="AW617" s="1"/>
      <c r="AX617" s="1"/>
      <c r="AY617" s="1"/>
    </row>
    <row r="618" spans="1:51" ht="15.75" customHeight="1" x14ac:dyDescent="0.2">
      <c r="A618" s="245"/>
      <c r="B618" s="244"/>
      <c r="C618" s="245"/>
      <c r="D618" s="1"/>
      <c r="E618" s="290"/>
      <c r="F618" s="1"/>
      <c r="L618" s="246"/>
      <c r="W618" s="1"/>
      <c r="Y618" s="1"/>
      <c r="AA618" s="1"/>
      <c r="AC618" s="1"/>
      <c r="AE618" s="1"/>
      <c r="AG618" s="1"/>
      <c r="AI618" s="1"/>
      <c r="AK618" s="1"/>
      <c r="AO618" s="1"/>
      <c r="AP618" s="1"/>
      <c r="AQ618" s="1"/>
      <c r="AR618" s="1"/>
      <c r="AT618" s="1"/>
      <c r="AU618" s="1"/>
      <c r="AV618" s="1"/>
      <c r="AW618" s="1"/>
      <c r="AX618" s="1"/>
      <c r="AY618" s="1"/>
    </row>
    <row r="619" spans="1:51" ht="15.75" customHeight="1" x14ac:dyDescent="0.2">
      <c r="A619" s="245"/>
      <c r="B619" s="244"/>
      <c r="C619" s="245"/>
      <c r="D619" s="1"/>
      <c r="E619" s="290"/>
      <c r="F619" s="1"/>
      <c r="L619" s="246"/>
      <c r="W619" s="1"/>
      <c r="Y619" s="1"/>
      <c r="AA619" s="1"/>
      <c r="AC619" s="1"/>
      <c r="AE619" s="1"/>
      <c r="AG619" s="1"/>
      <c r="AI619" s="1"/>
      <c r="AK619" s="1"/>
      <c r="AO619" s="1"/>
      <c r="AP619" s="1"/>
      <c r="AQ619" s="1"/>
      <c r="AR619" s="1"/>
      <c r="AT619" s="1"/>
      <c r="AU619" s="1"/>
      <c r="AV619" s="1"/>
      <c r="AW619" s="1"/>
      <c r="AX619" s="1"/>
      <c r="AY619" s="1"/>
    </row>
    <row r="620" spans="1:51" ht="15.75" customHeight="1" x14ac:dyDescent="0.2">
      <c r="A620" s="245"/>
      <c r="B620" s="244"/>
      <c r="C620" s="245"/>
      <c r="D620" s="1"/>
      <c r="E620" s="290"/>
      <c r="F620" s="1"/>
      <c r="L620" s="246"/>
      <c r="W620" s="1"/>
      <c r="Y620" s="1"/>
      <c r="AA620" s="1"/>
      <c r="AC620" s="1"/>
      <c r="AE620" s="1"/>
      <c r="AG620" s="1"/>
      <c r="AI620" s="1"/>
      <c r="AK620" s="1"/>
      <c r="AO620" s="1"/>
      <c r="AP620" s="1"/>
      <c r="AQ620" s="1"/>
      <c r="AR620" s="1"/>
      <c r="AT620" s="1"/>
      <c r="AU620" s="1"/>
      <c r="AV620" s="1"/>
      <c r="AW620" s="1"/>
      <c r="AX620" s="1"/>
      <c r="AY620" s="1"/>
    </row>
    <row r="621" spans="1:51" ht="15.75" customHeight="1" x14ac:dyDescent="0.2">
      <c r="A621" s="245"/>
      <c r="B621" s="244"/>
      <c r="C621" s="245"/>
      <c r="D621" s="1"/>
      <c r="E621" s="290"/>
      <c r="F621" s="1"/>
      <c r="L621" s="246"/>
      <c r="W621" s="1"/>
      <c r="Y621" s="1"/>
      <c r="AA621" s="1"/>
      <c r="AC621" s="1"/>
      <c r="AE621" s="1"/>
      <c r="AG621" s="1"/>
      <c r="AI621" s="1"/>
      <c r="AK621" s="1"/>
      <c r="AO621" s="1"/>
      <c r="AP621" s="1"/>
      <c r="AQ621" s="1"/>
      <c r="AR621" s="1"/>
      <c r="AT621" s="1"/>
      <c r="AU621" s="1"/>
      <c r="AV621" s="1"/>
      <c r="AW621" s="1"/>
      <c r="AX621" s="1"/>
      <c r="AY621" s="1"/>
    </row>
    <row r="622" spans="1:51" ht="15.75" customHeight="1" x14ac:dyDescent="0.2">
      <c r="A622" s="245"/>
      <c r="B622" s="244"/>
      <c r="C622" s="245"/>
      <c r="D622" s="1"/>
      <c r="E622" s="290"/>
      <c r="F622" s="1"/>
      <c r="L622" s="246"/>
      <c r="W622" s="1"/>
      <c r="Y622" s="1"/>
      <c r="AA622" s="1"/>
      <c r="AC622" s="1"/>
      <c r="AE622" s="1"/>
      <c r="AG622" s="1"/>
      <c r="AI622" s="1"/>
      <c r="AK622" s="1"/>
      <c r="AO622" s="1"/>
      <c r="AP622" s="1"/>
      <c r="AQ622" s="1"/>
      <c r="AR622" s="1"/>
      <c r="AT622" s="1"/>
      <c r="AU622" s="1"/>
      <c r="AV622" s="1"/>
      <c r="AW622" s="1"/>
      <c r="AX622" s="1"/>
      <c r="AY622" s="1"/>
    </row>
    <row r="623" spans="1:51" ht="15.75" customHeight="1" x14ac:dyDescent="0.2">
      <c r="A623" s="245"/>
      <c r="B623" s="244"/>
      <c r="C623" s="245"/>
      <c r="D623" s="1"/>
      <c r="E623" s="290"/>
      <c r="F623" s="1"/>
      <c r="L623" s="246"/>
      <c r="W623" s="1"/>
      <c r="Y623" s="1"/>
      <c r="AA623" s="1"/>
      <c r="AC623" s="1"/>
      <c r="AE623" s="1"/>
      <c r="AG623" s="1"/>
      <c r="AI623" s="1"/>
      <c r="AK623" s="1"/>
      <c r="AO623" s="1"/>
      <c r="AP623" s="1"/>
      <c r="AQ623" s="1"/>
      <c r="AR623" s="1"/>
      <c r="AT623" s="1"/>
      <c r="AU623" s="1"/>
      <c r="AV623" s="1"/>
      <c r="AW623" s="1"/>
      <c r="AX623" s="1"/>
      <c r="AY623" s="1"/>
    </row>
    <row r="624" spans="1:51" ht="15.75" customHeight="1" x14ac:dyDescent="0.2">
      <c r="A624" s="245"/>
      <c r="B624" s="244"/>
      <c r="C624" s="245"/>
      <c r="D624" s="1"/>
      <c r="E624" s="290"/>
      <c r="F624" s="1"/>
      <c r="L624" s="246"/>
      <c r="W624" s="1"/>
      <c r="Y624" s="1"/>
      <c r="AA624" s="1"/>
      <c r="AC624" s="1"/>
      <c r="AE624" s="1"/>
      <c r="AG624" s="1"/>
      <c r="AI624" s="1"/>
      <c r="AK624" s="1"/>
      <c r="AO624" s="1"/>
      <c r="AP624" s="1"/>
      <c r="AQ624" s="1"/>
      <c r="AR624" s="1"/>
      <c r="AT624" s="1"/>
      <c r="AU624" s="1"/>
      <c r="AV624" s="1"/>
      <c r="AW624" s="1"/>
      <c r="AX624" s="1"/>
      <c r="AY624" s="1"/>
    </row>
    <row r="625" spans="1:51" ht="15.75" customHeight="1" x14ac:dyDescent="0.2">
      <c r="A625" s="245"/>
      <c r="B625" s="244"/>
      <c r="C625" s="245"/>
      <c r="D625" s="1"/>
      <c r="E625" s="290"/>
      <c r="F625" s="1"/>
      <c r="L625" s="246"/>
      <c r="W625" s="1"/>
      <c r="Y625" s="1"/>
      <c r="AA625" s="1"/>
      <c r="AC625" s="1"/>
      <c r="AE625" s="1"/>
      <c r="AG625" s="1"/>
      <c r="AI625" s="1"/>
      <c r="AK625" s="1"/>
      <c r="AO625" s="1"/>
      <c r="AP625" s="1"/>
      <c r="AQ625" s="1"/>
      <c r="AR625" s="1"/>
      <c r="AT625" s="1"/>
      <c r="AU625" s="1"/>
      <c r="AV625" s="1"/>
      <c r="AW625" s="1"/>
      <c r="AX625" s="1"/>
      <c r="AY625" s="1"/>
    </row>
    <row r="626" spans="1:51" ht="15.75" customHeight="1" x14ac:dyDescent="0.2">
      <c r="A626" s="245"/>
      <c r="B626" s="244"/>
      <c r="C626" s="245"/>
      <c r="D626" s="1"/>
      <c r="E626" s="290"/>
      <c r="F626" s="1"/>
      <c r="L626" s="246"/>
      <c r="W626" s="1"/>
      <c r="Y626" s="1"/>
      <c r="AA626" s="1"/>
      <c r="AC626" s="1"/>
      <c r="AE626" s="1"/>
      <c r="AG626" s="1"/>
      <c r="AI626" s="1"/>
      <c r="AK626" s="1"/>
      <c r="AO626" s="1"/>
      <c r="AP626" s="1"/>
      <c r="AQ626" s="1"/>
      <c r="AR626" s="1"/>
      <c r="AT626" s="1"/>
      <c r="AU626" s="1"/>
      <c r="AV626" s="1"/>
      <c r="AW626" s="1"/>
      <c r="AX626" s="1"/>
      <c r="AY626" s="1"/>
    </row>
    <row r="627" spans="1:51" ht="15.75" customHeight="1" x14ac:dyDescent="0.2">
      <c r="A627" s="245"/>
      <c r="B627" s="244"/>
      <c r="C627" s="245"/>
      <c r="D627" s="1"/>
      <c r="E627" s="290"/>
      <c r="F627" s="1"/>
      <c r="L627" s="246"/>
      <c r="W627" s="1"/>
      <c r="Y627" s="1"/>
      <c r="AA627" s="1"/>
      <c r="AC627" s="1"/>
      <c r="AE627" s="1"/>
      <c r="AG627" s="1"/>
      <c r="AI627" s="1"/>
      <c r="AK627" s="1"/>
      <c r="AO627" s="1"/>
      <c r="AP627" s="1"/>
      <c r="AQ627" s="1"/>
      <c r="AR627" s="1"/>
      <c r="AT627" s="1"/>
      <c r="AU627" s="1"/>
      <c r="AV627" s="1"/>
      <c r="AW627" s="1"/>
      <c r="AX627" s="1"/>
      <c r="AY627" s="1"/>
    </row>
    <row r="628" spans="1:51" ht="15.75" customHeight="1" x14ac:dyDescent="0.2">
      <c r="A628" s="245"/>
      <c r="B628" s="244"/>
      <c r="C628" s="245"/>
      <c r="D628" s="1"/>
      <c r="E628" s="290"/>
      <c r="F628" s="1"/>
      <c r="L628" s="246"/>
      <c r="W628" s="1"/>
      <c r="Y628" s="1"/>
      <c r="AA628" s="1"/>
      <c r="AC628" s="1"/>
      <c r="AE628" s="1"/>
      <c r="AG628" s="1"/>
      <c r="AI628" s="1"/>
      <c r="AK628" s="1"/>
      <c r="AO628" s="1"/>
      <c r="AP628" s="1"/>
      <c r="AQ628" s="1"/>
      <c r="AR628" s="1"/>
      <c r="AT628" s="1"/>
      <c r="AU628" s="1"/>
      <c r="AV628" s="1"/>
      <c r="AW628" s="1"/>
      <c r="AX628" s="1"/>
      <c r="AY628" s="1"/>
    </row>
    <row r="629" spans="1:51" ht="15.75" customHeight="1" x14ac:dyDescent="0.2">
      <c r="A629" s="245"/>
      <c r="B629" s="244"/>
      <c r="C629" s="245"/>
      <c r="D629" s="1"/>
      <c r="E629" s="290"/>
      <c r="F629" s="1"/>
      <c r="L629" s="246"/>
      <c r="W629" s="1"/>
      <c r="Y629" s="1"/>
      <c r="AA629" s="1"/>
      <c r="AC629" s="1"/>
      <c r="AE629" s="1"/>
      <c r="AG629" s="1"/>
      <c r="AI629" s="1"/>
      <c r="AK629" s="1"/>
      <c r="AO629" s="1"/>
      <c r="AP629" s="1"/>
      <c r="AQ629" s="1"/>
      <c r="AR629" s="1"/>
      <c r="AT629" s="1"/>
      <c r="AU629" s="1"/>
      <c r="AV629" s="1"/>
      <c r="AW629" s="1"/>
      <c r="AX629" s="1"/>
      <c r="AY629" s="1"/>
    </row>
    <row r="630" spans="1:51" ht="15.75" customHeight="1" x14ac:dyDescent="0.2">
      <c r="A630" s="245"/>
      <c r="B630" s="244"/>
      <c r="C630" s="245"/>
      <c r="D630" s="1"/>
      <c r="E630" s="290"/>
      <c r="F630" s="1"/>
      <c r="L630" s="246"/>
      <c r="W630" s="1"/>
      <c r="Y630" s="1"/>
      <c r="AA630" s="1"/>
      <c r="AC630" s="1"/>
      <c r="AE630" s="1"/>
      <c r="AG630" s="1"/>
      <c r="AI630" s="1"/>
      <c r="AK630" s="1"/>
      <c r="AO630" s="1"/>
      <c r="AP630" s="1"/>
      <c r="AQ630" s="1"/>
      <c r="AR630" s="1"/>
      <c r="AT630" s="1"/>
      <c r="AU630" s="1"/>
      <c r="AV630" s="1"/>
      <c r="AW630" s="1"/>
      <c r="AX630" s="1"/>
      <c r="AY630" s="1"/>
    </row>
    <row r="631" spans="1:51" ht="15.75" customHeight="1" x14ac:dyDescent="0.2">
      <c r="A631" s="245"/>
      <c r="B631" s="244"/>
      <c r="C631" s="245"/>
      <c r="D631" s="1"/>
      <c r="E631" s="290"/>
      <c r="F631" s="1"/>
      <c r="L631" s="246"/>
      <c r="W631" s="1"/>
      <c r="Y631" s="1"/>
      <c r="AA631" s="1"/>
      <c r="AC631" s="1"/>
      <c r="AE631" s="1"/>
      <c r="AG631" s="1"/>
      <c r="AI631" s="1"/>
      <c r="AK631" s="1"/>
      <c r="AO631" s="1"/>
      <c r="AP631" s="1"/>
      <c r="AQ631" s="1"/>
      <c r="AR631" s="1"/>
      <c r="AT631" s="1"/>
      <c r="AU631" s="1"/>
      <c r="AV631" s="1"/>
      <c r="AW631" s="1"/>
      <c r="AX631" s="1"/>
      <c r="AY631" s="1"/>
    </row>
    <row r="632" spans="1:51" ht="15.75" customHeight="1" x14ac:dyDescent="0.2">
      <c r="A632" s="245"/>
      <c r="B632" s="244"/>
      <c r="C632" s="245"/>
      <c r="D632" s="1"/>
      <c r="E632" s="290"/>
      <c r="F632" s="1"/>
      <c r="L632" s="246"/>
      <c r="W632" s="1"/>
      <c r="Y632" s="1"/>
      <c r="AA632" s="1"/>
      <c r="AC632" s="1"/>
      <c r="AE632" s="1"/>
      <c r="AG632" s="1"/>
      <c r="AI632" s="1"/>
      <c r="AK632" s="1"/>
      <c r="AO632" s="1"/>
      <c r="AP632" s="1"/>
      <c r="AQ632" s="1"/>
      <c r="AR632" s="1"/>
      <c r="AT632" s="1"/>
      <c r="AU632" s="1"/>
      <c r="AV632" s="1"/>
      <c r="AW632" s="1"/>
      <c r="AX632" s="1"/>
      <c r="AY632" s="1"/>
    </row>
    <row r="633" spans="1:51" ht="15.75" customHeight="1" x14ac:dyDescent="0.2">
      <c r="A633" s="245"/>
      <c r="B633" s="244"/>
      <c r="C633" s="245"/>
      <c r="D633" s="1"/>
      <c r="E633" s="290"/>
      <c r="F633" s="1"/>
      <c r="L633" s="246"/>
      <c r="W633" s="1"/>
      <c r="Y633" s="1"/>
      <c r="AA633" s="1"/>
      <c r="AC633" s="1"/>
      <c r="AE633" s="1"/>
      <c r="AG633" s="1"/>
      <c r="AI633" s="1"/>
      <c r="AK633" s="1"/>
      <c r="AO633" s="1"/>
      <c r="AP633" s="1"/>
      <c r="AQ633" s="1"/>
      <c r="AR633" s="1"/>
      <c r="AT633" s="1"/>
      <c r="AU633" s="1"/>
      <c r="AV633" s="1"/>
      <c r="AW633" s="1"/>
      <c r="AX633" s="1"/>
      <c r="AY633" s="1"/>
    </row>
    <row r="634" spans="1:51" ht="15.75" customHeight="1" x14ac:dyDescent="0.2">
      <c r="A634" s="245"/>
      <c r="B634" s="244"/>
      <c r="C634" s="245"/>
      <c r="D634" s="1"/>
      <c r="E634" s="290"/>
      <c r="F634" s="1"/>
      <c r="L634" s="246"/>
      <c r="W634" s="1"/>
      <c r="Y634" s="1"/>
      <c r="AA634" s="1"/>
      <c r="AC634" s="1"/>
      <c r="AE634" s="1"/>
      <c r="AG634" s="1"/>
      <c r="AI634" s="1"/>
      <c r="AK634" s="1"/>
      <c r="AO634" s="1"/>
      <c r="AP634" s="1"/>
      <c r="AQ634" s="1"/>
      <c r="AR634" s="1"/>
      <c r="AT634" s="1"/>
      <c r="AU634" s="1"/>
      <c r="AV634" s="1"/>
      <c r="AW634" s="1"/>
      <c r="AX634" s="1"/>
      <c r="AY634" s="1"/>
    </row>
    <row r="635" spans="1:51" ht="15.75" customHeight="1" x14ac:dyDescent="0.2">
      <c r="A635" s="245"/>
      <c r="B635" s="244"/>
      <c r="C635" s="245"/>
      <c r="D635" s="1"/>
      <c r="E635" s="290"/>
      <c r="F635" s="1"/>
      <c r="L635" s="246"/>
      <c r="W635" s="1"/>
      <c r="Y635" s="1"/>
      <c r="AA635" s="1"/>
      <c r="AC635" s="1"/>
      <c r="AE635" s="1"/>
      <c r="AG635" s="1"/>
      <c r="AI635" s="1"/>
      <c r="AK635" s="1"/>
      <c r="AO635" s="1"/>
      <c r="AP635" s="1"/>
      <c r="AQ635" s="1"/>
      <c r="AR635" s="1"/>
      <c r="AT635" s="1"/>
      <c r="AU635" s="1"/>
      <c r="AV635" s="1"/>
      <c r="AW635" s="1"/>
      <c r="AX635" s="1"/>
      <c r="AY635" s="1"/>
    </row>
    <row r="636" spans="1:51" ht="15.75" customHeight="1" x14ac:dyDescent="0.2">
      <c r="A636" s="245"/>
      <c r="B636" s="244"/>
      <c r="C636" s="245"/>
      <c r="D636" s="1"/>
      <c r="E636" s="290"/>
      <c r="F636" s="1"/>
      <c r="L636" s="246"/>
      <c r="W636" s="1"/>
      <c r="Y636" s="1"/>
      <c r="AA636" s="1"/>
      <c r="AC636" s="1"/>
      <c r="AE636" s="1"/>
      <c r="AG636" s="1"/>
      <c r="AI636" s="1"/>
      <c r="AK636" s="1"/>
      <c r="AO636" s="1"/>
      <c r="AP636" s="1"/>
      <c r="AQ636" s="1"/>
      <c r="AR636" s="1"/>
      <c r="AT636" s="1"/>
      <c r="AU636" s="1"/>
      <c r="AV636" s="1"/>
      <c r="AW636" s="1"/>
      <c r="AX636" s="1"/>
      <c r="AY636" s="1"/>
    </row>
    <row r="637" spans="1:51" ht="15.75" customHeight="1" x14ac:dyDescent="0.2">
      <c r="A637" s="245"/>
      <c r="B637" s="244"/>
      <c r="C637" s="245"/>
      <c r="D637" s="1"/>
      <c r="E637" s="290"/>
      <c r="F637" s="1"/>
      <c r="L637" s="246"/>
      <c r="W637" s="1"/>
      <c r="Y637" s="1"/>
      <c r="AA637" s="1"/>
      <c r="AC637" s="1"/>
      <c r="AE637" s="1"/>
      <c r="AG637" s="1"/>
      <c r="AI637" s="1"/>
      <c r="AK637" s="1"/>
      <c r="AO637" s="1"/>
      <c r="AP637" s="1"/>
      <c r="AQ637" s="1"/>
      <c r="AR637" s="1"/>
      <c r="AT637" s="1"/>
      <c r="AU637" s="1"/>
      <c r="AV637" s="1"/>
      <c r="AW637" s="1"/>
      <c r="AX637" s="1"/>
      <c r="AY637" s="1"/>
    </row>
    <row r="638" spans="1:51" ht="15.75" customHeight="1" x14ac:dyDescent="0.2">
      <c r="A638" s="245"/>
      <c r="B638" s="244"/>
      <c r="C638" s="245"/>
      <c r="D638" s="1"/>
      <c r="E638" s="290"/>
      <c r="F638" s="1"/>
      <c r="L638" s="246"/>
      <c r="W638" s="1"/>
      <c r="Y638" s="1"/>
      <c r="AA638" s="1"/>
      <c r="AC638" s="1"/>
      <c r="AE638" s="1"/>
      <c r="AG638" s="1"/>
      <c r="AI638" s="1"/>
      <c r="AK638" s="1"/>
      <c r="AO638" s="1"/>
      <c r="AP638" s="1"/>
      <c r="AQ638" s="1"/>
      <c r="AR638" s="1"/>
      <c r="AT638" s="1"/>
      <c r="AU638" s="1"/>
      <c r="AV638" s="1"/>
      <c r="AW638" s="1"/>
      <c r="AX638" s="1"/>
      <c r="AY638" s="1"/>
    </row>
    <row r="639" spans="1:51" ht="15.75" customHeight="1" x14ac:dyDescent="0.2">
      <c r="A639" s="245"/>
      <c r="B639" s="244"/>
      <c r="C639" s="245"/>
      <c r="D639" s="1"/>
      <c r="E639" s="290"/>
      <c r="F639" s="1"/>
      <c r="L639" s="246"/>
      <c r="W639" s="1"/>
      <c r="Y639" s="1"/>
      <c r="AA639" s="1"/>
      <c r="AC639" s="1"/>
      <c r="AE639" s="1"/>
      <c r="AG639" s="1"/>
      <c r="AI639" s="1"/>
      <c r="AK639" s="1"/>
      <c r="AO639" s="1"/>
      <c r="AP639" s="1"/>
      <c r="AQ639" s="1"/>
      <c r="AR639" s="1"/>
      <c r="AT639" s="1"/>
      <c r="AU639" s="1"/>
      <c r="AV639" s="1"/>
      <c r="AW639" s="1"/>
      <c r="AX639" s="1"/>
      <c r="AY639" s="1"/>
    </row>
    <row r="640" spans="1:51" ht="15.75" customHeight="1" x14ac:dyDescent="0.2">
      <c r="A640" s="245"/>
      <c r="B640" s="244"/>
      <c r="C640" s="245"/>
      <c r="D640" s="1"/>
      <c r="E640" s="290"/>
      <c r="F640" s="1"/>
      <c r="L640" s="246"/>
      <c r="W640" s="1"/>
      <c r="Y640" s="1"/>
      <c r="AA640" s="1"/>
      <c r="AC640" s="1"/>
      <c r="AE640" s="1"/>
      <c r="AG640" s="1"/>
      <c r="AI640" s="1"/>
      <c r="AK640" s="1"/>
      <c r="AO640" s="1"/>
      <c r="AP640" s="1"/>
      <c r="AQ640" s="1"/>
      <c r="AR640" s="1"/>
      <c r="AT640" s="1"/>
      <c r="AU640" s="1"/>
      <c r="AV640" s="1"/>
      <c r="AW640" s="1"/>
      <c r="AX640" s="1"/>
      <c r="AY640" s="1"/>
    </row>
    <row r="641" spans="1:51" ht="15.75" customHeight="1" x14ac:dyDescent="0.2">
      <c r="A641" s="245"/>
      <c r="B641" s="244"/>
      <c r="C641" s="245"/>
      <c r="D641" s="1"/>
      <c r="E641" s="290"/>
      <c r="F641" s="1"/>
      <c r="L641" s="246"/>
      <c r="W641" s="1"/>
      <c r="Y641" s="1"/>
      <c r="AA641" s="1"/>
      <c r="AC641" s="1"/>
      <c r="AE641" s="1"/>
      <c r="AG641" s="1"/>
      <c r="AI641" s="1"/>
      <c r="AK641" s="1"/>
      <c r="AO641" s="1"/>
      <c r="AP641" s="1"/>
      <c r="AQ641" s="1"/>
      <c r="AR641" s="1"/>
      <c r="AT641" s="1"/>
      <c r="AU641" s="1"/>
      <c r="AV641" s="1"/>
      <c r="AW641" s="1"/>
      <c r="AX641" s="1"/>
      <c r="AY641" s="1"/>
    </row>
    <row r="642" spans="1:51" ht="15.75" customHeight="1" x14ac:dyDescent="0.2">
      <c r="A642" s="245"/>
      <c r="B642" s="244"/>
      <c r="C642" s="245"/>
      <c r="D642" s="1"/>
      <c r="E642" s="290"/>
      <c r="F642" s="1"/>
      <c r="L642" s="246"/>
      <c r="W642" s="1"/>
      <c r="Y642" s="1"/>
      <c r="AA642" s="1"/>
      <c r="AC642" s="1"/>
      <c r="AE642" s="1"/>
      <c r="AG642" s="1"/>
      <c r="AI642" s="1"/>
      <c r="AK642" s="1"/>
      <c r="AO642" s="1"/>
      <c r="AP642" s="1"/>
      <c r="AQ642" s="1"/>
      <c r="AR642" s="1"/>
      <c r="AT642" s="1"/>
      <c r="AU642" s="1"/>
      <c r="AV642" s="1"/>
      <c r="AW642" s="1"/>
      <c r="AX642" s="1"/>
      <c r="AY642" s="1"/>
    </row>
    <row r="643" spans="1:51" ht="15.75" customHeight="1" x14ac:dyDescent="0.2">
      <c r="A643" s="245"/>
      <c r="B643" s="244"/>
      <c r="C643" s="245"/>
      <c r="D643" s="1"/>
      <c r="E643" s="290"/>
      <c r="F643" s="1"/>
      <c r="L643" s="246"/>
      <c r="W643" s="1"/>
      <c r="Y643" s="1"/>
      <c r="AA643" s="1"/>
      <c r="AC643" s="1"/>
      <c r="AE643" s="1"/>
      <c r="AG643" s="1"/>
      <c r="AI643" s="1"/>
      <c r="AK643" s="1"/>
      <c r="AO643" s="1"/>
      <c r="AP643" s="1"/>
      <c r="AQ643" s="1"/>
      <c r="AR643" s="1"/>
      <c r="AT643" s="1"/>
      <c r="AU643" s="1"/>
      <c r="AV643" s="1"/>
      <c r="AW643" s="1"/>
      <c r="AX643" s="1"/>
      <c r="AY643" s="1"/>
    </row>
    <row r="644" spans="1:51" ht="15.75" customHeight="1" x14ac:dyDescent="0.2">
      <c r="A644" s="245"/>
      <c r="B644" s="244"/>
      <c r="C644" s="245"/>
      <c r="D644" s="1"/>
      <c r="E644" s="290"/>
      <c r="F644" s="1"/>
      <c r="L644" s="246"/>
      <c r="W644" s="1"/>
      <c r="Y644" s="1"/>
      <c r="AA644" s="1"/>
      <c r="AC644" s="1"/>
      <c r="AE644" s="1"/>
      <c r="AG644" s="1"/>
      <c r="AI644" s="1"/>
      <c r="AK644" s="1"/>
      <c r="AO644" s="1"/>
      <c r="AP644" s="1"/>
      <c r="AQ644" s="1"/>
      <c r="AR644" s="1"/>
      <c r="AT644" s="1"/>
      <c r="AU644" s="1"/>
      <c r="AV644" s="1"/>
      <c r="AW644" s="1"/>
      <c r="AX644" s="1"/>
      <c r="AY644" s="1"/>
    </row>
    <row r="645" spans="1:51" ht="15.75" customHeight="1" x14ac:dyDescent="0.2">
      <c r="A645" s="245"/>
      <c r="B645" s="244"/>
      <c r="C645" s="245"/>
      <c r="D645" s="1"/>
      <c r="E645" s="290"/>
      <c r="F645" s="1"/>
      <c r="L645" s="246"/>
      <c r="W645" s="1"/>
      <c r="Y645" s="1"/>
      <c r="AA645" s="1"/>
      <c r="AC645" s="1"/>
      <c r="AE645" s="1"/>
      <c r="AG645" s="1"/>
      <c r="AI645" s="1"/>
      <c r="AK645" s="1"/>
      <c r="AO645" s="1"/>
      <c r="AP645" s="1"/>
      <c r="AQ645" s="1"/>
      <c r="AR645" s="1"/>
      <c r="AT645" s="1"/>
      <c r="AU645" s="1"/>
      <c r="AV645" s="1"/>
      <c r="AW645" s="1"/>
      <c r="AX645" s="1"/>
      <c r="AY645" s="1"/>
    </row>
    <row r="646" spans="1:51" ht="15.75" customHeight="1" x14ac:dyDescent="0.2">
      <c r="A646" s="245"/>
      <c r="B646" s="244"/>
      <c r="C646" s="245"/>
      <c r="D646" s="1"/>
      <c r="E646" s="290"/>
      <c r="F646" s="1"/>
      <c r="L646" s="246"/>
      <c r="W646" s="1"/>
      <c r="Y646" s="1"/>
      <c r="AA646" s="1"/>
      <c r="AC646" s="1"/>
      <c r="AE646" s="1"/>
      <c r="AG646" s="1"/>
      <c r="AI646" s="1"/>
      <c r="AK646" s="1"/>
      <c r="AO646" s="1"/>
      <c r="AP646" s="1"/>
      <c r="AQ646" s="1"/>
      <c r="AR646" s="1"/>
      <c r="AT646" s="1"/>
      <c r="AU646" s="1"/>
      <c r="AV646" s="1"/>
      <c r="AW646" s="1"/>
      <c r="AX646" s="1"/>
      <c r="AY646" s="1"/>
    </row>
    <row r="647" spans="1:51" ht="15.75" customHeight="1" x14ac:dyDescent="0.2">
      <c r="A647" s="245"/>
      <c r="B647" s="244"/>
      <c r="C647" s="245"/>
      <c r="D647" s="1"/>
      <c r="E647" s="290"/>
      <c r="F647" s="1"/>
      <c r="L647" s="246"/>
      <c r="W647" s="1"/>
      <c r="Y647" s="1"/>
      <c r="AA647" s="1"/>
      <c r="AC647" s="1"/>
      <c r="AE647" s="1"/>
      <c r="AG647" s="1"/>
      <c r="AI647" s="1"/>
      <c r="AK647" s="1"/>
      <c r="AO647" s="1"/>
      <c r="AP647" s="1"/>
      <c r="AQ647" s="1"/>
      <c r="AR647" s="1"/>
      <c r="AT647" s="1"/>
      <c r="AU647" s="1"/>
      <c r="AV647" s="1"/>
      <c r="AW647" s="1"/>
      <c r="AX647" s="1"/>
      <c r="AY647" s="1"/>
    </row>
    <row r="648" spans="1:51" ht="15.75" customHeight="1" x14ac:dyDescent="0.2">
      <c r="A648" s="245"/>
      <c r="B648" s="244"/>
      <c r="C648" s="245"/>
      <c r="D648" s="1"/>
      <c r="E648" s="290"/>
      <c r="F648" s="1"/>
      <c r="L648" s="246"/>
      <c r="W648" s="1"/>
      <c r="Y648" s="1"/>
      <c r="AA648" s="1"/>
      <c r="AC648" s="1"/>
      <c r="AE648" s="1"/>
      <c r="AG648" s="1"/>
      <c r="AI648" s="1"/>
      <c r="AK648" s="1"/>
      <c r="AO648" s="1"/>
      <c r="AP648" s="1"/>
      <c r="AQ648" s="1"/>
      <c r="AR648" s="1"/>
      <c r="AT648" s="1"/>
      <c r="AU648" s="1"/>
      <c r="AV648" s="1"/>
      <c r="AW648" s="1"/>
      <c r="AX648" s="1"/>
      <c r="AY648" s="1"/>
    </row>
    <row r="649" spans="1:51" ht="15.75" customHeight="1" x14ac:dyDescent="0.2">
      <c r="A649" s="245"/>
      <c r="B649" s="244"/>
      <c r="C649" s="245"/>
      <c r="D649" s="1"/>
      <c r="E649" s="290"/>
      <c r="F649" s="1"/>
      <c r="L649" s="246"/>
      <c r="W649" s="1"/>
      <c r="Y649" s="1"/>
      <c r="AA649" s="1"/>
      <c r="AC649" s="1"/>
      <c r="AE649" s="1"/>
      <c r="AG649" s="1"/>
      <c r="AI649" s="1"/>
      <c r="AK649" s="1"/>
      <c r="AO649" s="1"/>
      <c r="AP649" s="1"/>
      <c r="AQ649" s="1"/>
      <c r="AR649" s="1"/>
      <c r="AT649" s="1"/>
      <c r="AU649" s="1"/>
      <c r="AV649" s="1"/>
      <c r="AW649" s="1"/>
      <c r="AX649" s="1"/>
      <c r="AY649" s="1"/>
    </row>
    <row r="650" spans="1:51" ht="15.75" customHeight="1" x14ac:dyDescent="0.2">
      <c r="A650" s="245"/>
      <c r="B650" s="244"/>
      <c r="C650" s="245"/>
      <c r="D650" s="1"/>
      <c r="E650" s="290"/>
      <c r="F650" s="1"/>
      <c r="L650" s="246"/>
      <c r="W650" s="1"/>
      <c r="Y650" s="1"/>
      <c r="AA650" s="1"/>
      <c r="AC650" s="1"/>
      <c r="AE650" s="1"/>
      <c r="AG650" s="1"/>
      <c r="AI650" s="1"/>
      <c r="AK650" s="1"/>
      <c r="AO650" s="1"/>
      <c r="AP650" s="1"/>
      <c r="AQ650" s="1"/>
      <c r="AR650" s="1"/>
      <c r="AT650" s="1"/>
      <c r="AU650" s="1"/>
      <c r="AV650" s="1"/>
      <c r="AW650" s="1"/>
      <c r="AX650" s="1"/>
      <c r="AY650" s="1"/>
    </row>
    <row r="651" spans="1:51" ht="15.75" customHeight="1" x14ac:dyDescent="0.2">
      <c r="A651" s="245"/>
      <c r="B651" s="244"/>
      <c r="C651" s="245"/>
      <c r="D651" s="1"/>
      <c r="E651" s="290"/>
      <c r="F651" s="1"/>
      <c r="L651" s="246"/>
      <c r="W651" s="1"/>
      <c r="Y651" s="1"/>
      <c r="AA651" s="1"/>
      <c r="AC651" s="1"/>
      <c r="AE651" s="1"/>
      <c r="AG651" s="1"/>
      <c r="AI651" s="1"/>
      <c r="AK651" s="1"/>
      <c r="AO651" s="1"/>
      <c r="AP651" s="1"/>
      <c r="AQ651" s="1"/>
      <c r="AR651" s="1"/>
      <c r="AT651" s="1"/>
      <c r="AU651" s="1"/>
      <c r="AV651" s="1"/>
      <c r="AW651" s="1"/>
      <c r="AX651" s="1"/>
      <c r="AY651" s="1"/>
    </row>
    <row r="652" spans="1:51" ht="15.75" customHeight="1" x14ac:dyDescent="0.2">
      <c r="A652" s="245"/>
      <c r="B652" s="244"/>
      <c r="C652" s="245"/>
      <c r="D652" s="1"/>
      <c r="E652" s="290"/>
      <c r="F652" s="1"/>
      <c r="L652" s="246"/>
      <c r="W652" s="1"/>
      <c r="Y652" s="1"/>
      <c r="AA652" s="1"/>
      <c r="AC652" s="1"/>
      <c r="AE652" s="1"/>
      <c r="AG652" s="1"/>
      <c r="AI652" s="1"/>
      <c r="AK652" s="1"/>
      <c r="AO652" s="1"/>
      <c r="AP652" s="1"/>
      <c r="AQ652" s="1"/>
      <c r="AR652" s="1"/>
      <c r="AT652" s="1"/>
      <c r="AU652" s="1"/>
      <c r="AV652" s="1"/>
      <c r="AW652" s="1"/>
      <c r="AX652" s="1"/>
      <c r="AY652" s="1"/>
    </row>
    <row r="653" spans="1:51" ht="15.75" customHeight="1" x14ac:dyDescent="0.2">
      <c r="A653" s="245"/>
      <c r="B653" s="244"/>
      <c r="C653" s="245"/>
      <c r="D653" s="1"/>
      <c r="E653" s="290"/>
      <c r="F653" s="1"/>
      <c r="L653" s="246"/>
      <c r="W653" s="1"/>
      <c r="Y653" s="1"/>
      <c r="AA653" s="1"/>
      <c r="AC653" s="1"/>
      <c r="AE653" s="1"/>
      <c r="AG653" s="1"/>
      <c r="AI653" s="1"/>
      <c r="AK653" s="1"/>
      <c r="AO653" s="1"/>
      <c r="AP653" s="1"/>
      <c r="AQ653" s="1"/>
      <c r="AR653" s="1"/>
      <c r="AT653" s="1"/>
      <c r="AU653" s="1"/>
      <c r="AV653" s="1"/>
      <c r="AW653" s="1"/>
      <c r="AX653" s="1"/>
      <c r="AY653" s="1"/>
    </row>
    <row r="654" spans="1:51" ht="15.75" customHeight="1" x14ac:dyDescent="0.2">
      <c r="A654" s="245"/>
      <c r="B654" s="244"/>
      <c r="C654" s="245"/>
      <c r="D654" s="1"/>
      <c r="E654" s="290"/>
      <c r="F654" s="1"/>
      <c r="L654" s="246"/>
      <c r="W654" s="1"/>
      <c r="Y654" s="1"/>
      <c r="AA654" s="1"/>
      <c r="AC654" s="1"/>
      <c r="AE654" s="1"/>
      <c r="AG654" s="1"/>
      <c r="AI654" s="1"/>
      <c r="AK654" s="1"/>
      <c r="AO654" s="1"/>
      <c r="AP654" s="1"/>
      <c r="AQ654" s="1"/>
      <c r="AR654" s="1"/>
      <c r="AT654" s="1"/>
      <c r="AU654" s="1"/>
      <c r="AV654" s="1"/>
      <c r="AW654" s="1"/>
      <c r="AX654" s="1"/>
      <c r="AY654" s="1"/>
    </row>
    <row r="655" spans="1:51" ht="15.75" customHeight="1" x14ac:dyDescent="0.2">
      <c r="A655" s="245"/>
      <c r="B655" s="244"/>
      <c r="C655" s="245"/>
      <c r="D655" s="1"/>
      <c r="E655" s="290"/>
      <c r="F655" s="1"/>
      <c r="L655" s="246"/>
      <c r="W655" s="1"/>
      <c r="Y655" s="1"/>
      <c r="AA655" s="1"/>
      <c r="AC655" s="1"/>
      <c r="AE655" s="1"/>
      <c r="AG655" s="1"/>
      <c r="AI655" s="1"/>
      <c r="AK655" s="1"/>
      <c r="AO655" s="1"/>
      <c r="AP655" s="1"/>
      <c r="AQ655" s="1"/>
      <c r="AR655" s="1"/>
      <c r="AT655" s="1"/>
      <c r="AU655" s="1"/>
      <c r="AV655" s="1"/>
      <c r="AW655" s="1"/>
      <c r="AX655" s="1"/>
      <c r="AY655" s="1"/>
    </row>
    <row r="656" spans="1:51" ht="15.75" customHeight="1" x14ac:dyDescent="0.2">
      <c r="A656" s="245"/>
      <c r="B656" s="244"/>
      <c r="C656" s="245"/>
      <c r="D656" s="1"/>
      <c r="E656" s="290"/>
      <c r="F656" s="1"/>
      <c r="L656" s="246"/>
      <c r="W656" s="1"/>
      <c r="Y656" s="1"/>
      <c r="AA656" s="1"/>
      <c r="AC656" s="1"/>
      <c r="AE656" s="1"/>
      <c r="AG656" s="1"/>
      <c r="AI656" s="1"/>
      <c r="AK656" s="1"/>
      <c r="AO656" s="1"/>
      <c r="AP656" s="1"/>
      <c r="AQ656" s="1"/>
      <c r="AR656" s="1"/>
      <c r="AT656" s="1"/>
      <c r="AU656" s="1"/>
      <c r="AV656" s="1"/>
      <c r="AW656" s="1"/>
      <c r="AX656" s="1"/>
      <c r="AY656" s="1"/>
    </row>
    <row r="657" spans="1:51" ht="15.75" customHeight="1" x14ac:dyDescent="0.2">
      <c r="A657" s="245"/>
      <c r="B657" s="244"/>
      <c r="C657" s="245"/>
      <c r="D657" s="1"/>
      <c r="E657" s="290"/>
      <c r="F657" s="1"/>
      <c r="L657" s="246"/>
      <c r="W657" s="1"/>
      <c r="Y657" s="1"/>
      <c r="AA657" s="1"/>
      <c r="AC657" s="1"/>
      <c r="AE657" s="1"/>
      <c r="AG657" s="1"/>
      <c r="AI657" s="1"/>
      <c r="AK657" s="1"/>
      <c r="AO657" s="1"/>
      <c r="AP657" s="1"/>
      <c r="AQ657" s="1"/>
      <c r="AR657" s="1"/>
      <c r="AT657" s="1"/>
      <c r="AU657" s="1"/>
      <c r="AV657" s="1"/>
      <c r="AW657" s="1"/>
      <c r="AX657" s="1"/>
      <c r="AY657" s="1"/>
    </row>
    <row r="658" spans="1:51" ht="15.75" customHeight="1" x14ac:dyDescent="0.2">
      <c r="A658" s="245"/>
      <c r="B658" s="244"/>
      <c r="C658" s="245"/>
      <c r="D658" s="1"/>
      <c r="E658" s="290"/>
      <c r="F658" s="1"/>
      <c r="L658" s="246"/>
      <c r="W658" s="1"/>
      <c r="Y658" s="1"/>
      <c r="AA658" s="1"/>
      <c r="AC658" s="1"/>
      <c r="AE658" s="1"/>
      <c r="AG658" s="1"/>
      <c r="AI658" s="1"/>
      <c r="AK658" s="1"/>
      <c r="AO658" s="1"/>
      <c r="AP658" s="1"/>
      <c r="AQ658" s="1"/>
      <c r="AR658" s="1"/>
      <c r="AT658" s="1"/>
      <c r="AU658" s="1"/>
      <c r="AV658" s="1"/>
      <c r="AW658" s="1"/>
      <c r="AX658" s="1"/>
      <c r="AY658" s="1"/>
    </row>
    <row r="659" spans="1:51" ht="15.75" customHeight="1" x14ac:dyDescent="0.2">
      <c r="A659" s="245"/>
      <c r="B659" s="244"/>
      <c r="C659" s="245"/>
      <c r="D659" s="1"/>
      <c r="E659" s="290"/>
      <c r="F659" s="1"/>
      <c r="L659" s="246"/>
      <c r="W659" s="1"/>
      <c r="Y659" s="1"/>
      <c r="AA659" s="1"/>
      <c r="AC659" s="1"/>
      <c r="AE659" s="1"/>
      <c r="AG659" s="1"/>
      <c r="AI659" s="1"/>
      <c r="AK659" s="1"/>
      <c r="AO659" s="1"/>
      <c r="AP659" s="1"/>
      <c r="AQ659" s="1"/>
      <c r="AR659" s="1"/>
      <c r="AT659" s="1"/>
      <c r="AU659" s="1"/>
      <c r="AV659" s="1"/>
      <c r="AW659" s="1"/>
      <c r="AX659" s="1"/>
      <c r="AY659" s="1"/>
    </row>
    <row r="660" spans="1:51" ht="15.75" customHeight="1" x14ac:dyDescent="0.2">
      <c r="A660" s="245"/>
      <c r="B660" s="244"/>
      <c r="C660" s="245"/>
      <c r="D660" s="1"/>
      <c r="E660" s="290"/>
      <c r="F660" s="1"/>
      <c r="L660" s="246"/>
      <c r="W660" s="1"/>
      <c r="Y660" s="1"/>
      <c r="AA660" s="1"/>
      <c r="AC660" s="1"/>
      <c r="AE660" s="1"/>
      <c r="AG660" s="1"/>
      <c r="AI660" s="1"/>
      <c r="AK660" s="1"/>
      <c r="AO660" s="1"/>
      <c r="AP660" s="1"/>
      <c r="AQ660" s="1"/>
      <c r="AR660" s="1"/>
      <c r="AT660" s="1"/>
      <c r="AU660" s="1"/>
      <c r="AV660" s="1"/>
      <c r="AW660" s="1"/>
      <c r="AX660" s="1"/>
      <c r="AY660" s="1"/>
    </row>
    <row r="661" spans="1:51" ht="15.75" customHeight="1" x14ac:dyDescent="0.2">
      <c r="A661" s="245"/>
      <c r="B661" s="244"/>
      <c r="C661" s="245"/>
      <c r="D661" s="1"/>
      <c r="E661" s="290"/>
      <c r="F661" s="1"/>
      <c r="L661" s="246"/>
      <c r="W661" s="1"/>
      <c r="Y661" s="1"/>
      <c r="AA661" s="1"/>
      <c r="AC661" s="1"/>
      <c r="AE661" s="1"/>
      <c r="AG661" s="1"/>
      <c r="AI661" s="1"/>
      <c r="AK661" s="1"/>
      <c r="AO661" s="1"/>
      <c r="AP661" s="1"/>
      <c r="AQ661" s="1"/>
      <c r="AR661" s="1"/>
      <c r="AT661" s="1"/>
      <c r="AU661" s="1"/>
      <c r="AV661" s="1"/>
      <c r="AW661" s="1"/>
      <c r="AX661" s="1"/>
      <c r="AY661" s="1"/>
    </row>
    <row r="662" spans="1:51" ht="15.75" customHeight="1" x14ac:dyDescent="0.2">
      <c r="A662" s="245"/>
      <c r="B662" s="244"/>
      <c r="C662" s="245"/>
      <c r="D662" s="1"/>
      <c r="E662" s="290"/>
      <c r="F662" s="1"/>
      <c r="L662" s="246"/>
      <c r="W662" s="1"/>
      <c r="Y662" s="1"/>
      <c r="AA662" s="1"/>
      <c r="AC662" s="1"/>
      <c r="AE662" s="1"/>
      <c r="AG662" s="1"/>
      <c r="AI662" s="1"/>
      <c r="AK662" s="1"/>
      <c r="AO662" s="1"/>
      <c r="AP662" s="1"/>
      <c r="AQ662" s="1"/>
      <c r="AR662" s="1"/>
      <c r="AT662" s="1"/>
      <c r="AU662" s="1"/>
      <c r="AV662" s="1"/>
      <c r="AW662" s="1"/>
      <c r="AX662" s="1"/>
      <c r="AY662" s="1"/>
    </row>
    <row r="663" spans="1:51" ht="15.75" customHeight="1" x14ac:dyDescent="0.2">
      <c r="A663" s="245"/>
      <c r="B663" s="244"/>
      <c r="C663" s="245"/>
      <c r="D663" s="1"/>
      <c r="E663" s="290"/>
      <c r="F663" s="1"/>
      <c r="L663" s="246"/>
      <c r="W663" s="1"/>
      <c r="Y663" s="1"/>
      <c r="AA663" s="1"/>
      <c r="AC663" s="1"/>
      <c r="AE663" s="1"/>
      <c r="AG663" s="1"/>
      <c r="AI663" s="1"/>
      <c r="AK663" s="1"/>
      <c r="AO663" s="1"/>
      <c r="AP663" s="1"/>
      <c r="AQ663" s="1"/>
      <c r="AR663" s="1"/>
      <c r="AT663" s="1"/>
      <c r="AU663" s="1"/>
      <c r="AV663" s="1"/>
      <c r="AW663" s="1"/>
      <c r="AX663" s="1"/>
      <c r="AY663" s="1"/>
    </row>
    <row r="664" spans="1:51" ht="15.75" customHeight="1" x14ac:dyDescent="0.2">
      <c r="A664" s="245"/>
      <c r="B664" s="244"/>
      <c r="C664" s="245"/>
      <c r="D664" s="1"/>
      <c r="E664" s="290"/>
      <c r="F664" s="1"/>
      <c r="L664" s="246"/>
      <c r="W664" s="1"/>
      <c r="Y664" s="1"/>
      <c r="AA664" s="1"/>
      <c r="AC664" s="1"/>
      <c r="AE664" s="1"/>
      <c r="AG664" s="1"/>
      <c r="AI664" s="1"/>
      <c r="AK664" s="1"/>
      <c r="AO664" s="1"/>
      <c r="AP664" s="1"/>
      <c r="AQ664" s="1"/>
      <c r="AR664" s="1"/>
      <c r="AT664" s="1"/>
      <c r="AU664" s="1"/>
      <c r="AV664" s="1"/>
      <c r="AW664" s="1"/>
      <c r="AX664" s="1"/>
      <c r="AY664" s="1"/>
    </row>
    <row r="665" spans="1:51" ht="15.75" customHeight="1" x14ac:dyDescent="0.2">
      <c r="A665" s="245"/>
      <c r="B665" s="244"/>
      <c r="C665" s="245"/>
      <c r="D665" s="1"/>
      <c r="E665" s="290"/>
      <c r="F665" s="1"/>
      <c r="L665" s="246"/>
      <c r="W665" s="1"/>
      <c r="Y665" s="1"/>
      <c r="AA665" s="1"/>
      <c r="AC665" s="1"/>
      <c r="AE665" s="1"/>
      <c r="AG665" s="1"/>
      <c r="AI665" s="1"/>
      <c r="AK665" s="1"/>
      <c r="AO665" s="1"/>
      <c r="AP665" s="1"/>
      <c r="AQ665" s="1"/>
      <c r="AR665" s="1"/>
      <c r="AT665" s="1"/>
      <c r="AU665" s="1"/>
      <c r="AV665" s="1"/>
      <c r="AW665" s="1"/>
      <c r="AX665" s="1"/>
      <c r="AY665" s="1"/>
    </row>
    <row r="666" spans="1:51" ht="15.75" customHeight="1" x14ac:dyDescent="0.2">
      <c r="A666" s="245"/>
      <c r="B666" s="244"/>
      <c r="C666" s="245"/>
      <c r="D666" s="1"/>
      <c r="E666" s="290"/>
      <c r="F666" s="1"/>
      <c r="L666" s="246"/>
      <c r="W666" s="1"/>
      <c r="Y666" s="1"/>
      <c r="AA666" s="1"/>
      <c r="AC666" s="1"/>
      <c r="AE666" s="1"/>
      <c r="AG666" s="1"/>
      <c r="AI666" s="1"/>
      <c r="AK666" s="1"/>
      <c r="AO666" s="1"/>
      <c r="AP666" s="1"/>
      <c r="AQ666" s="1"/>
      <c r="AR666" s="1"/>
      <c r="AT666" s="1"/>
      <c r="AU666" s="1"/>
      <c r="AV666" s="1"/>
      <c r="AW666" s="1"/>
      <c r="AX666" s="1"/>
      <c r="AY666" s="1"/>
    </row>
    <row r="667" spans="1:51" ht="15.75" customHeight="1" x14ac:dyDescent="0.2">
      <c r="A667" s="245"/>
      <c r="B667" s="244"/>
      <c r="C667" s="245"/>
      <c r="D667" s="1"/>
      <c r="E667" s="290"/>
      <c r="F667" s="1"/>
      <c r="L667" s="246"/>
      <c r="W667" s="1"/>
      <c r="Y667" s="1"/>
      <c r="AA667" s="1"/>
      <c r="AC667" s="1"/>
      <c r="AE667" s="1"/>
      <c r="AG667" s="1"/>
      <c r="AI667" s="1"/>
      <c r="AK667" s="1"/>
      <c r="AO667" s="1"/>
      <c r="AP667" s="1"/>
      <c r="AQ667" s="1"/>
      <c r="AR667" s="1"/>
      <c r="AT667" s="1"/>
      <c r="AU667" s="1"/>
      <c r="AV667" s="1"/>
      <c r="AW667" s="1"/>
      <c r="AX667" s="1"/>
      <c r="AY667" s="1"/>
    </row>
    <row r="668" spans="1:51" ht="15.75" customHeight="1" x14ac:dyDescent="0.2">
      <c r="A668" s="245"/>
      <c r="B668" s="244"/>
      <c r="C668" s="245"/>
      <c r="D668" s="1"/>
      <c r="E668" s="290"/>
      <c r="F668" s="1"/>
      <c r="L668" s="246"/>
      <c r="W668" s="1"/>
      <c r="Y668" s="1"/>
      <c r="AA668" s="1"/>
      <c r="AC668" s="1"/>
      <c r="AE668" s="1"/>
      <c r="AG668" s="1"/>
      <c r="AI668" s="1"/>
      <c r="AK668" s="1"/>
      <c r="AO668" s="1"/>
      <c r="AP668" s="1"/>
      <c r="AQ668" s="1"/>
      <c r="AR668" s="1"/>
      <c r="AT668" s="1"/>
      <c r="AU668" s="1"/>
      <c r="AV668" s="1"/>
      <c r="AW668" s="1"/>
      <c r="AX668" s="1"/>
      <c r="AY668" s="1"/>
    </row>
    <row r="669" spans="1:51" ht="15.75" customHeight="1" x14ac:dyDescent="0.2">
      <c r="A669" s="245"/>
      <c r="B669" s="244"/>
      <c r="C669" s="245"/>
      <c r="D669" s="1"/>
      <c r="E669" s="290"/>
      <c r="F669" s="1"/>
      <c r="L669" s="246"/>
      <c r="W669" s="1"/>
      <c r="Y669" s="1"/>
      <c r="AA669" s="1"/>
      <c r="AC669" s="1"/>
      <c r="AE669" s="1"/>
      <c r="AG669" s="1"/>
      <c r="AI669" s="1"/>
      <c r="AK669" s="1"/>
      <c r="AO669" s="1"/>
      <c r="AP669" s="1"/>
      <c r="AQ669" s="1"/>
      <c r="AR669" s="1"/>
      <c r="AT669" s="1"/>
      <c r="AU669" s="1"/>
      <c r="AV669" s="1"/>
      <c r="AW669" s="1"/>
      <c r="AX669" s="1"/>
      <c r="AY669" s="1"/>
    </row>
    <row r="670" spans="1:51" ht="15.75" customHeight="1" x14ac:dyDescent="0.2">
      <c r="A670" s="245"/>
      <c r="B670" s="244"/>
      <c r="C670" s="245"/>
      <c r="D670" s="1"/>
      <c r="E670" s="290"/>
      <c r="F670" s="1"/>
      <c r="L670" s="246"/>
      <c r="W670" s="1"/>
      <c r="Y670" s="1"/>
      <c r="AA670" s="1"/>
      <c r="AC670" s="1"/>
      <c r="AE670" s="1"/>
      <c r="AG670" s="1"/>
      <c r="AI670" s="1"/>
      <c r="AK670" s="1"/>
      <c r="AO670" s="1"/>
      <c r="AP670" s="1"/>
      <c r="AQ670" s="1"/>
      <c r="AR670" s="1"/>
      <c r="AT670" s="1"/>
      <c r="AU670" s="1"/>
      <c r="AV670" s="1"/>
      <c r="AW670" s="1"/>
      <c r="AX670" s="1"/>
      <c r="AY670" s="1"/>
    </row>
    <row r="671" spans="1:51" ht="15.75" customHeight="1" x14ac:dyDescent="0.2">
      <c r="A671" s="245"/>
      <c r="B671" s="244"/>
      <c r="C671" s="245"/>
      <c r="D671" s="1"/>
      <c r="E671" s="290"/>
      <c r="F671" s="1"/>
      <c r="L671" s="246"/>
      <c r="W671" s="1"/>
      <c r="Y671" s="1"/>
      <c r="AA671" s="1"/>
      <c r="AC671" s="1"/>
      <c r="AE671" s="1"/>
      <c r="AG671" s="1"/>
      <c r="AI671" s="1"/>
      <c r="AK671" s="1"/>
      <c r="AO671" s="1"/>
      <c r="AP671" s="1"/>
      <c r="AQ671" s="1"/>
      <c r="AR671" s="1"/>
      <c r="AT671" s="1"/>
      <c r="AU671" s="1"/>
      <c r="AV671" s="1"/>
      <c r="AW671" s="1"/>
      <c r="AX671" s="1"/>
      <c r="AY671" s="1"/>
    </row>
    <row r="672" spans="1:51" ht="15.75" customHeight="1" x14ac:dyDescent="0.2">
      <c r="A672" s="245"/>
      <c r="B672" s="244"/>
      <c r="C672" s="245"/>
      <c r="D672" s="1"/>
      <c r="E672" s="290"/>
      <c r="F672" s="1"/>
      <c r="L672" s="246"/>
      <c r="W672" s="1"/>
      <c r="Y672" s="1"/>
      <c r="AA672" s="1"/>
      <c r="AC672" s="1"/>
      <c r="AE672" s="1"/>
      <c r="AG672" s="1"/>
      <c r="AI672" s="1"/>
      <c r="AK672" s="1"/>
      <c r="AO672" s="1"/>
      <c r="AP672" s="1"/>
      <c r="AQ672" s="1"/>
      <c r="AR672" s="1"/>
      <c r="AT672" s="1"/>
      <c r="AU672" s="1"/>
      <c r="AV672" s="1"/>
      <c r="AW672" s="1"/>
      <c r="AX672" s="1"/>
      <c r="AY672" s="1"/>
    </row>
    <row r="673" spans="1:51" ht="15.75" customHeight="1" x14ac:dyDescent="0.2">
      <c r="A673" s="245"/>
      <c r="B673" s="244"/>
      <c r="C673" s="245"/>
      <c r="D673" s="1"/>
      <c r="E673" s="290"/>
      <c r="F673" s="1"/>
      <c r="L673" s="246"/>
      <c r="W673" s="1"/>
      <c r="Y673" s="1"/>
      <c r="AA673" s="1"/>
      <c r="AC673" s="1"/>
      <c r="AE673" s="1"/>
      <c r="AG673" s="1"/>
      <c r="AI673" s="1"/>
      <c r="AK673" s="1"/>
      <c r="AO673" s="1"/>
      <c r="AP673" s="1"/>
      <c r="AQ673" s="1"/>
      <c r="AR673" s="1"/>
      <c r="AT673" s="1"/>
      <c r="AU673" s="1"/>
      <c r="AV673" s="1"/>
      <c r="AW673" s="1"/>
      <c r="AX673" s="1"/>
      <c r="AY673" s="1"/>
    </row>
    <row r="674" spans="1:51" ht="15.75" customHeight="1" x14ac:dyDescent="0.2">
      <c r="A674" s="245"/>
      <c r="B674" s="244"/>
      <c r="C674" s="245"/>
      <c r="D674" s="1"/>
      <c r="E674" s="290"/>
      <c r="F674" s="1"/>
      <c r="L674" s="246"/>
      <c r="W674" s="1"/>
      <c r="Y674" s="1"/>
      <c r="AA674" s="1"/>
      <c r="AC674" s="1"/>
      <c r="AE674" s="1"/>
      <c r="AG674" s="1"/>
      <c r="AI674" s="1"/>
      <c r="AK674" s="1"/>
      <c r="AO674" s="1"/>
      <c r="AP674" s="1"/>
      <c r="AQ674" s="1"/>
      <c r="AR674" s="1"/>
      <c r="AT674" s="1"/>
      <c r="AU674" s="1"/>
      <c r="AV674" s="1"/>
      <c r="AW674" s="1"/>
      <c r="AX674" s="1"/>
      <c r="AY674" s="1"/>
    </row>
    <row r="675" spans="1:51" ht="15.75" customHeight="1" x14ac:dyDescent="0.2">
      <c r="A675" s="245"/>
      <c r="B675" s="244"/>
      <c r="C675" s="245"/>
      <c r="D675" s="1"/>
      <c r="E675" s="290"/>
      <c r="F675" s="1"/>
      <c r="L675" s="246"/>
      <c r="W675" s="1"/>
      <c r="Y675" s="1"/>
      <c r="AA675" s="1"/>
      <c r="AC675" s="1"/>
      <c r="AE675" s="1"/>
      <c r="AG675" s="1"/>
      <c r="AI675" s="1"/>
      <c r="AK675" s="1"/>
      <c r="AO675" s="1"/>
      <c r="AP675" s="1"/>
      <c r="AQ675" s="1"/>
      <c r="AR675" s="1"/>
      <c r="AT675" s="1"/>
      <c r="AU675" s="1"/>
      <c r="AV675" s="1"/>
      <c r="AW675" s="1"/>
      <c r="AX675" s="1"/>
      <c r="AY675" s="1"/>
    </row>
    <row r="676" spans="1:51" ht="15.75" customHeight="1" x14ac:dyDescent="0.2">
      <c r="A676" s="245"/>
      <c r="B676" s="244"/>
      <c r="C676" s="245"/>
      <c r="D676" s="1"/>
      <c r="E676" s="290"/>
      <c r="F676" s="1"/>
      <c r="L676" s="246"/>
      <c r="W676" s="1"/>
      <c r="Y676" s="1"/>
      <c r="AA676" s="1"/>
      <c r="AC676" s="1"/>
      <c r="AE676" s="1"/>
      <c r="AG676" s="1"/>
      <c r="AI676" s="1"/>
      <c r="AK676" s="1"/>
      <c r="AO676" s="1"/>
      <c r="AP676" s="1"/>
      <c r="AQ676" s="1"/>
      <c r="AR676" s="1"/>
      <c r="AT676" s="1"/>
      <c r="AU676" s="1"/>
      <c r="AV676" s="1"/>
      <c r="AW676" s="1"/>
      <c r="AX676" s="1"/>
      <c r="AY676" s="1"/>
    </row>
    <row r="677" spans="1:51" ht="15.75" customHeight="1" x14ac:dyDescent="0.2">
      <c r="A677" s="245"/>
      <c r="B677" s="244"/>
      <c r="C677" s="245"/>
      <c r="D677" s="1"/>
      <c r="E677" s="290"/>
      <c r="F677" s="1"/>
      <c r="L677" s="246"/>
      <c r="W677" s="1"/>
      <c r="Y677" s="1"/>
      <c r="AA677" s="1"/>
      <c r="AC677" s="1"/>
      <c r="AE677" s="1"/>
      <c r="AG677" s="1"/>
      <c r="AI677" s="1"/>
      <c r="AK677" s="1"/>
      <c r="AO677" s="1"/>
      <c r="AP677" s="1"/>
      <c r="AQ677" s="1"/>
      <c r="AR677" s="1"/>
      <c r="AT677" s="1"/>
      <c r="AU677" s="1"/>
      <c r="AV677" s="1"/>
      <c r="AW677" s="1"/>
      <c r="AX677" s="1"/>
      <c r="AY677" s="1"/>
    </row>
    <row r="678" spans="1:51" ht="15.75" customHeight="1" x14ac:dyDescent="0.2">
      <c r="A678" s="245"/>
      <c r="B678" s="244"/>
      <c r="C678" s="245"/>
      <c r="D678" s="1"/>
      <c r="E678" s="290"/>
      <c r="F678" s="1"/>
      <c r="L678" s="246"/>
      <c r="W678" s="1"/>
      <c r="Y678" s="1"/>
      <c r="AA678" s="1"/>
      <c r="AC678" s="1"/>
      <c r="AE678" s="1"/>
      <c r="AG678" s="1"/>
      <c r="AI678" s="1"/>
      <c r="AK678" s="1"/>
      <c r="AO678" s="1"/>
      <c r="AP678" s="1"/>
      <c r="AQ678" s="1"/>
      <c r="AR678" s="1"/>
      <c r="AT678" s="1"/>
      <c r="AU678" s="1"/>
      <c r="AV678" s="1"/>
      <c r="AW678" s="1"/>
      <c r="AX678" s="1"/>
      <c r="AY678" s="1"/>
    </row>
    <row r="679" spans="1:51" ht="15.75" customHeight="1" x14ac:dyDescent="0.2">
      <c r="A679" s="245"/>
      <c r="B679" s="244"/>
      <c r="C679" s="245"/>
      <c r="D679" s="1"/>
      <c r="E679" s="290"/>
      <c r="F679" s="1"/>
      <c r="L679" s="246"/>
      <c r="W679" s="1"/>
      <c r="Y679" s="1"/>
      <c r="AA679" s="1"/>
      <c r="AC679" s="1"/>
      <c r="AE679" s="1"/>
      <c r="AG679" s="1"/>
      <c r="AI679" s="1"/>
      <c r="AK679" s="1"/>
      <c r="AO679" s="1"/>
      <c r="AP679" s="1"/>
      <c r="AQ679" s="1"/>
      <c r="AR679" s="1"/>
      <c r="AT679" s="1"/>
      <c r="AU679" s="1"/>
      <c r="AV679" s="1"/>
      <c r="AW679" s="1"/>
      <c r="AX679" s="1"/>
      <c r="AY679" s="1"/>
    </row>
    <row r="680" spans="1:51" ht="15.75" customHeight="1" x14ac:dyDescent="0.2">
      <c r="A680" s="245"/>
      <c r="B680" s="244"/>
      <c r="C680" s="245"/>
      <c r="D680" s="1"/>
      <c r="E680" s="290"/>
      <c r="F680" s="1"/>
      <c r="L680" s="246"/>
      <c r="W680" s="1"/>
      <c r="Y680" s="1"/>
      <c r="AA680" s="1"/>
      <c r="AC680" s="1"/>
      <c r="AE680" s="1"/>
      <c r="AG680" s="1"/>
      <c r="AI680" s="1"/>
      <c r="AK680" s="1"/>
      <c r="AO680" s="1"/>
      <c r="AP680" s="1"/>
      <c r="AQ680" s="1"/>
      <c r="AR680" s="1"/>
      <c r="AT680" s="1"/>
      <c r="AU680" s="1"/>
      <c r="AV680" s="1"/>
      <c r="AW680" s="1"/>
      <c r="AX680" s="1"/>
      <c r="AY680" s="1"/>
    </row>
    <row r="681" spans="1:51" ht="15.75" customHeight="1" x14ac:dyDescent="0.2">
      <c r="A681" s="245"/>
      <c r="B681" s="244"/>
      <c r="C681" s="245"/>
      <c r="D681" s="1"/>
      <c r="E681" s="290"/>
      <c r="F681" s="1"/>
      <c r="L681" s="246"/>
      <c r="W681" s="1"/>
      <c r="Y681" s="1"/>
      <c r="AA681" s="1"/>
      <c r="AC681" s="1"/>
      <c r="AE681" s="1"/>
      <c r="AG681" s="1"/>
      <c r="AI681" s="1"/>
      <c r="AK681" s="1"/>
      <c r="AO681" s="1"/>
      <c r="AP681" s="1"/>
      <c r="AQ681" s="1"/>
      <c r="AR681" s="1"/>
      <c r="AT681" s="1"/>
      <c r="AU681" s="1"/>
      <c r="AV681" s="1"/>
      <c r="AW681" s="1"/>
      <c r="AX681" s="1"/>
      <c r="AY681" s="1"/>
    </row>
    <row r="682" spans="1:51" ht="15.75" customHeight="1" x14ac:dyDescent="0.2">
      <c r="A682" s="245"/>
      <c r="B682" s="244"/>
      <c r="C682" s="245"/>
      <c r="D682" s="1"/>
      <c r="E682" s="290"/>
      <c r="F682" s="1"/>
      <c r="L682" s="246"/>
      <c r="W682" s="1"/>
      <c r="Y682" s="1"/>
      <c r="AA682" s="1"/>
      <c r="AC682" s="1"/>
      <c r="AE682" s="1"/>
      <c r="AG682" s="1"/>
      <c r="AI682" s="1"/>
      <c r="AK682" s="1"/>
      <c r="AO682" s="1"/>
      <c r="AP682" s="1"/>
      <c r="AQ682" s="1"/>
      <c r="AR682" s="1"/>
      <c r="AT682" s="1"/>
      <c r="AU682" s="1"/>
      <c r="AV682" s="1"/>
      <c r="AW682" s="1"/>
      <c r="AX682" s="1"/>
      <c r="AY682" s="1"/>
    </row>
    <row r="683" spans="1:51" ht="15.75" customHeight="1" x14ac:dyDescent="0.2">
      <c r="A683" s="245"/>
      <c r="B683" s="244"/>
      <c r="C683" s="245"/>
      <c r="D683" s="1"/>
      <c r="E683" s="290"/>
      <c r="F683" s="1"/>
      <c r="L683" s="246"/>
      <c r="W683" s="1"/>
      <c r="Y683" s="1"/>
      <c r="AA683" s="1"/>
      <c r="AC683" s="1"/>
      <c r="AE683" s="1"/>
      <c r="AG683" s="1"/>
      <c r="AI683" s="1"/>
      <c r="AK683" s="1"/>
      <c r="AO683" s="1"/>
      <c r="AP683" s="1"/>
      <c r="AQ683" s="1"/>
      <c r="AR683" s="1"/>
      <c r="AT683" s="1"/>
      <c r="AU683" s="1"/>
      <c r="AV683" s="1"/>
      <c r="AW683" s="1"/>
      <c r="AX683" s="1"/>
      <c r="AY683" s="1"/>
    </row>
    <row r="684" spans="1:51" ht="15.75" customHeight="1" x14ac:dyDescent="0.2">
      <c r="A684" s="245"/>
      <c r="B684" s="244"/>
      <c r="C684" s="245"/>
      <c r="D684" s="1"/>
      <c r="E684" s="290"/>
      <c r="F684" s="1"/>
      <c r="L684" s="246"/>
      <c r="W684" s="1"/>
      <c r="Y684" s="1"/>
      <c r="AA684" s="1"/>
      <c r="AC684" s="1"/>
      <c r="AE684" s="1"/>
      <c r="AG684" s="1"/>
      <c r="AI684" s="1"/>
      <c r="AK684" s="1"/>
      <c r="AO684" s="1"/>
      <c r="AP684" s="1"/>
      <c r="AQ684" s="1"/>
      <c r="AR684" s="1"/>
      <c r="AT684" s="1"/>
      <c r="AU684" s="1"/>
      <c r="AV684" s="1"/>
      <c r="AW684" s="1"/>
      <c r="AX684" s="1"/>
      <c r="AY684" s="1"/>
    </row>
    <row r="685" spans="1:51" ht="15.75" customHeight="1" x14ac:dyDescent="0.2">
      <c r="A685" s="245"/>
      <c r="B685" s="244"/>
      <c r="C685" s="245"/>
      <c r="D685" s="1"/>
      <c r="E685" s="290"/>
      <c r="F685" s="1"/>
      <c r="L685" s="246"/>
      <c r="W685" s="1"/>
      <c r="Y685" s="1"/>
      <c r="AA685" s="1"/>
      <c r="AC685" s="1"/>
      <c r="AE685" s="1"/>
      <c r="AG685" s="1"/>
      <c r="AI685" s="1"/>
      <c r="AK685" s="1"/>
      <c r="AO685" s="1"/>
      <c r="AP685" s="1"/>
      <c r="AQ685" s="1"/>
      <c r="AR685" s="1"/>
      <c r="AT685" s="1"/>
      <c r="AU685" s="1"/>
      <c r="AV685" s="1"/>
      <c r="AW685" s="1"/>
      <c r="AX685" s="1"/>
      <c r="AY685" s="1"/>
    </row>
    <row r="686" spans="1:51" ht="15.75" customHeight="1" x14ac:dyDescent="0.2">
      <c r="A686" s="245"/>
      <c r="B686" s="244"/>
      <c r="C686" s="245"/>
      <c r="D686" s="1"/>
      <c r="E686" s="290"/>
      <c r="F686" s="1"/>
      <c r="L686" s="246"/>
      <c r="W686" s="1"/>
      <c r="Y686" s="1"/>
      <c r="AA686" s="1"/>
      <c r="AC686" s="1"/>
      <c r="AE686" s="1"/>
      <c r="AG686" s="1"/>
      <c r="AI686" s="1"/>
      <c r="AK686" s="1"/>
      <c r="AO686" s="1"/>
      <c r="AP686" s="1"/>
      <c r="AQ686" s="1"/>
      <c r="AR686" s="1"/>
      <c r="AT686" s="1"/>
      <c r="AU686" s="1"/>
      <c r="AV686" s="1"/>
      <c r="AW686" s="1"/>
      <c r="AX686" s="1"/>
      <c r="AY686" s="1"/>
    </row>
    <row r="687" spans="1:51" ht="15.75" customHeight="1" x14ac:dyDescent="0.2">
      <c r="A687" s="245"/>
      <c r="B687" s="244"/>
      <c r="C687" s="245"/>
      <c r="D687" s="1"/>
      <c r="E687" s="290"/>
      <c r="F687" s="1"/>
      <c r="L687" s="246"/>
      <c r="W687" s="1"/>
      <c r="Y687" s="1"/>
      <c r="AA687" s="1"/>
      <c r="AC687" s="1"/>
      <c r="AE687" s="1"/>
      <c r="AG687" s="1"/>
      <c r="AI687" s="1"/>
      <c r="AK687" s="1"/>
      <c r="AO687" s="1"/>
      <c r="AP687" s="1"/>
      <c r="AQ687" s="1"/>
      <c r="AR687" s="1"/>
      <c r="AT687" s="1"/>
      <c r="AU687" s="1"/>
      <c r="AV687" s="1"/>
      <c r="AW687" s="1"/>
      <c r="AX687" s="1"/>
      <c r="AY687" s="1"/>
    </row>
    <row r="688" spans="1:51" ht="15.75" customHeight="1" x14ac:dyDescent="0.2">
      <c r="A688" s="245"/>
      <c r="B688" s="244"/>
      <c r="C688" s="245"/>
      <c r="D688" s="1"/>
      <c r="E688" s="290"/>
      <c r="F688" s="1"/>
      <c r="L688" s="246"/>
      <c r="W688" s="1"/>
      <c r="Y688" s="1"/>
      <c r="AA688" s="1"/>
      <c r="AC688" s="1"/>
      <c r="AE688" s="1"/>
      <c r="AG688" s="1"/>
      <c r="AI688" s="1"/>
      <c r="AK688" s="1"/>
      <c r="AO688" s="1"/>
      <c r="AP688" s="1"/>
      <c r="AQ688" s="1"/>
      <c r="AR688" s="1"/>
      <c r="AT688" s="1"/>
      <c r="AU688" s="1"/>
      <c r="AV688" s="1"/>
      <c r="AW688" s="1"/>
      <c r="AX688" s="1"/>
      <c r="AY688" s="1"/>
    </row>
    <row r="689" spans="1:51" ht="15.75" customHeight="1" x14ac:dyDescent="0.2">
      <c r="A689" s="245"/>
      <c r="B689" s="244"/>
      <c r="C689" s="245"/>
      <c r="D689" s="1"/>
      <c r="E689" s="290"/>
      <c r="F689" s="1"/>
      <c r="L689" s="246"/>
      <c r="W689" s="1"/>
      <c r="Y689" s="1"/>
      <c r="AA689" s="1"/>
      <c r="AC689" s="1"/>
      <c r="AE689" s="1"/>
      <c r="AG689" s="1"/>
      <c r="AI689" s="1"/>
      <c r="AK689" s="1"/>
      <c r="AO689" s="1"/>
      <c r="AP689" s="1"/>
      <c r="AQ689" s="1"/>
      <c r="AR689" s="1"/>
      <c r="AT689" s="1"/>
      <c r="AU689" s="1"/>
      <c r="AV689" s="1"/>
      <c r="AW689" s="1"/>
      <c r="AX689" s="1"/>
      <c r="AY689" s="1"/>
    </row>
    <row r="690" spans="1:51" ht="15.75" customHeight="1" x14ac:dyDescent="0.2">
      <c r="A690" s="245"/>
      <c r="B690" s="244"/>
      <c r="C690" s="245"/>
      <c r="D690" s="1"/>
      <c r="E690" s="290"/>
      <c r="F690" s="1"/>
      <c r="L690" s="246"/>
      <c r="W690" s="1"/>
      <c r="Y690" s="1"/>
      <c r="AA690" s="1"/>
      <c r="AC690" s="1"/>
      <c r="AE690" s="1"/>
      <c r="AG690" s="1"/>
      <c r="AI690" s="1"/>
      <c r="AK690" s="1"/>
      <c r="AO690" s="1"/>
      <c r="AP690" s="1"/>
      <c r="AQ690" s="1"/>
      <c r="AR690" s="1"/>
      <c r="AT690" s="1"/>
      <c r="AU690" s="1"/>
      <c r="AV690" s="1"/>
      <c r="AW690" s="1"/>
      <c r="AX690" s="1"/>
      <c r="AY690" s="1"/>
    </row>
    <row r="691" spans="1:51" ht="15.75" customHeight="1" x14ac:dyDescent="0.2">
      <c r="A691" s="245"/>
      <c r="B691" s="244"/>
      <c r="C691" s="245"/>
      <c r="D691" s="1"/>
      <c r="E691" s="290"/>
      <c r="F691" s="1"/>
      <c r="L691" s="246"/>
      <c r="W691" s="1"/>
      <c r="Y691" s="1"/>
      <c r="AA691" s="1"/>
      <c r="AC691" s="1"/>
      <c r="AE691" s="1"/>
      <c r="AG691" s="1"/>
      <c r="AI691" s="1"/>
      <c r="AK691" s="1"/>
      <c r="AO691" s="1"/>
      <c r="AP691" s="1"/>
      <c r="AQ691" s="1"/>
      <c r="AR691" s="1"/>
      <c r="AT691" s="1"/>
      <c r="AU691" s="1"/>
      <c r="AV691" s="1"/>
      <c r="AW691" s="1"/>
      <c r="AX691" s="1"/>
      <c r="AY691" s="1"/>
    </row>
    <row r="692" spans="1:51" ht="15.75" customHeight="1" x14ac:dyDescent="0.2">
      <c r="A692" s="245"/>
      <c r="B692" s="244"/>
      <c r="C692" s="245"/>
      <c r="D692" s="1"/>
      <c r="E692" s="290"/>
      <c r="F692" s="1"/>
      <c r="L692" s="246"/>
      <c r="W692" s="1"/>
      <c r="Y692" s="1"/>
      <c r="AA692" s="1"/>
      <c r="AC692" s="1"/>
      <c r="AE692" s="1"/>
      <c r="AG692" s="1"/>
      <c r="AI692" s="1"/>
      <c r="AK692" s="1"/>
      <c r="AO692" s="1"/>
      <c r="AP692" s="1"/>
      <c r="AQ692" s="1"/>
      <c r="AR692" s="1"/>
      <c r="AT692" s="1"/>
      <c r="AU692" s="1"/>
      <c r="AV692" s="1"/>
      <c r="AW692" s="1"/>
      <c r="AX692" s="1"/>
      <c r="AY692" s="1"/>
    </row>
    <row r="693" spans="1:51" ht="15.75" customHeight="1" x14ac:dyDescent="0.2">
      <c r="A693" s="245"/>
      <c r="B693" s="244"/>
      <c r="C693" s="245"/>
      <c r="D693" s="1"/>
      <c r="E693" s="290"/>
      <c r="F693" s="1"/>
      <c r="L693" s="246"/>
      <c r="W693" s="1"/>
      <c r="Y693" s="1"/>
      <c r="AA693" s="1"/>
      <c r="AC693" s="1"/>
      <c r="AE693" s="1"/>
      <c r="AG693" s="1"/>
      <c r="AI693" s="1"/>
      <c r="AK693" s="1"/>
      <c r="AO693" s="1"/>
      <c r="AP693" s="1"/>
      <c r="AQ693" s="1"/>
      <c r="AR693" s="1"/>
      <c r="AT693" s="1"/>
      <c r="AU693" s="1"/>
      <c r="AV693" s="1"/>
      <c r="AW693" s="1"/>
      <c r="AX693" s="1"/>
      <c r="AY693" s="1"/>
    </row>
    <row r="694" spans="1:51" ht="15.75" customHeight="1" x14ac:dyDescent="0.2">
      <c r="A694" s="245"/>
      <c r="B694" s="244"/>
      <c r="C694" s="245"/>
      <c r="D694" s="1"/>
      <c r="E694" s="290"/>
      <c r="F694" s="1"/>
      <c r="L694" s="246"/>
      <c r="W694" s="1"/>
      <c r="Y694" s="1"/>
      <c r="AA694" s="1"/>
      <c r="AC694" s="1"/>
      <c r="AE694" s="1"/>
      <c r="AG694" s="1"/>
      <c r="AI694" s="1"/>
      <c r="AK694" s="1"/>
      <c r="AO694" s="1"/>
      <c r="AP694" s="1"/>
      <c r="AQ694" s="1"/>
      <c r="AR694" s="1"/>
      <c r="AT694" s="1"/>
      <c r="AU694" s="1"/>
      <c r="AV694" s="1"/>
      <c r="AW694" s="1"/>
      <c r="AX694" s="1"/>
      <c r="AY694" s="1"/>
    </row>
    <row r="695" spans="1:51" ht="15.75" customHeight="1" x14ac:dyDescent="0.2">
      <c r="A695" s="245"/>
      <c r="B695" s="244"/>
      <c r="C695" s="245"/>
      <c r="D695" s="1"/>
      <c r="E695" s="290"/>
      <c r="F695" s="1"/>
      <c r="L695" s="246"/>
      <c r="W695" s="1"/>
      <c r="Y695" s="1"/>
      <c r="AA695" s="1"/>
      <c r="AC695" s="1"/>
      <c r="AE695" s="1"/>
      <c r="AG695" s="1"/>
      <c r="AI695" s="1"/>
      <c r="AK695" s="1"/>
      <c r="AO695" s="1"/>
      <c r="AP695" s="1"/>
      <c r="AQ695" s="1"/>
      <c r="AR695" s="1"/>
      <c r="AT695" s="1"/>
      <c r="AU695" s="1"/>
      <c r="AV695" s="1"/>
      <c r="AW695" s="1"/>
      <c r="AX695" s="1"/>
      <c r="AY695" s="1"/>
    </row>
    <row r="696" spans="1:51" ht="15.75" customHeight="1" x14ac:dyDescent="0.2">
      <c r="A696" s="245"/>
      <c r="B696" s="244"/>
      <c r="C696" s="245"/>
      <c r="D696" s="1"/>
      <c r="E696" s="290"/>
      <c r="F696" s="1"/>
      <c r="L696" s="246"/>
      <c r="W696" s="1"/>
      <c r="Y696" s="1"/>
      <c r="AA696" s="1"/>
      <c r="AC696" s="1"/>
      <c r="AE696" s="1"/>
      <c r="AG696" s="1"/>
      <c r="AI696" s="1"/>
      <c r="AK696" s="1"/>
      <c r="AO696" s="1"/>
      <c r="AP696" s="1"/>
      <c r="AQ696" s="1"/>
      <c r="AR696" s="1"/>
      <c r="AT696" s="1"/>
      <c r="AU696" s="1"/>
      <c r="AV696" s="1"/>
      <c r="AW696" s="1"/>
      <c r="AX696" s="1"/>
      <c r="AY696" s="1"/>
    </row>
    <row r="697" spans="1:51" ht="15.75" customHeight="1" x14ac:dyDescent="0.2">
      <c r="A697" s="245"/>
      <c r="B697" s="244"/>
      <c r="C697" s="245"/>
      <c r="D697" s="1"/>
      <c r="E697" s="290"/>
      <c r="F697" s="1"/>
      <c r="L697" s="246"/>
      <c r="W697" s="1"/>
      <c r="Y697" s="1"/>
      <c r="AA697" s="1"/>
      <c r="AC697" s="1"/>
      <c r="AE697" s="1"/>
      <c r="AG697" s="1"/>
      <c r="AI697" s="1"/>
      <c r="AK697" s="1"/>
      <c r="AO697" s="1"/>
      <c r="AP697" s="1"/>
      <c r="AQ697" s="1"/>
      <c r="AR697" s="1"/>
      <c r="AT697" s="1"/>
      <c r="AU697" s="1"/>
      <c r="AV697" s="1"/>
      <c r="AW697" s="1"/>
      <c r="AX697" s="1"/>
      <c r="AY697" s="1"/>
    </row>
    <row r="698" spans="1:51" ht="15.75" customHeight="1" x14ac:dyDescent="0.2">
      <c r="A698" s="245"/>
      <c r="B698" s="244"/>
      <c r="C698" s="245"/>
      <c r="D698" s="1"/>
      <c r="E698" s="290"/>
      <c r="F698" s="1"/>
      <c r="L698" s="246"/>
      <c r="W698" s="1"/>
      <c r="Y698" s="1"/>
      <c r="AA698" s="1"/>
      <c r="AC698" s="1"/>
      <c r="AE698" s="1"/>
      <c r="AG698" s="1"/>
      <c r="AI698" s="1"/>
      <c r="AK698" s="1"/>
      <c r="AO698" s="1"/>
      <c r="AP698" s="1"/>
      <c r="AQ698" s="1"/>
      <c r="AR698" s="1"/>
      <c r="AT698" s="1"/>
      <c r="AU698" s="1"/>
      <c r="AV698" s="1"/>
      <c r="AW698" s="1"/>
      <c r="AX698" s="1"/>
      <c r="AY698" s="1"/>
    </row>
    <row r="699" spans="1:51" ht="15.75" customHeight="1" x14ac:dyDescent="0.2">
      <c r="A699" s="245"/>
      <c r="B699" s="244"/>
      <c r="C699" s="245"/>
      <c r="D699" s="1"/>
      <c r="E699" s="290"/>
      <c r="F699" s="1"/>
      <c r="L699" s="246"/>
      <c r="W699" s="1"/>
      <c r="Y699" s="1"/>
      <c r="AA699" s="1"/>
      <c r="AC699" s="1"/>
      <c r="AE699" s="1"/>
      <c r="AG699" s="1"/>
      <c r="AI699" s="1"/>
      <c r="AK699" s="1"/>
      <c r="AO699" s="1"/>
      <c r="AP699" s="1"/>
      <c r="AQ699" s="1"/>
      <c r="AR699" s="1"/>
      <c r="AT699" s="1"/>
      <c r="AU699" s="1"/>
      <c r="AV699" s="1"/>
      <c r="AW699" s="1"/>
      <c r="AX699" s="1"/>
      <c r="AY699" s="1"/>
    </row>
    <row r="700" spans="1:51" ht="15.75" customHeight="1" x14ac:dyDescent="0.2">
      <c r="A700" s="245"/>
      <c r="B700" s="244"/>
      <c r="C700" s="245"/>
      <c r="D700" s="1"/>
      <c r="E700" s="290"/>
      <c r="F700" s="1"/>
      <c r="L700" s="246"/>
      <c r="W700" s="1"/>
      <c r="Y700" s="1"/>
      <c r="AA700" s="1"/>
      <c r="AC700" s="1"/>
      <c r="AE700" s="1"/>
      <c r="AG700" s="1"/>
      <c r="AI700" s="1"/>
      <c r="AK700" s="1"/>
      <c r="AO700" s="1"/>
      <c r="AP700" s="1"/>
      <c r="AQ700" s="1"/>
      <c r="AR700" s="1"/>
      <c r="AT700" s="1"/>
      <c r="AU700" s="1"/>
      <c r="AV700" s="1"/>
      <c r="AW700" s="1"/>
      <c r="AX700" s="1"/>
      <c r="AY700" s="1"/>
    </row>
    <row r="701" spans="1:51" ht="15.75" customHeight="1" x14ac:dyDescent="0.2">
      <c r="A701" s="245"/>
      <c r="B701" s="244"/>
      <c r="C701" s="245"/>
      <c r="D701" s="1"/>
      <c r="E701" s="290"/>
      <c r="F701" s="1"/>
      <c r="L701" s="246"/>
      <c r="W701" s="1"/>
      <c r="Y701" s="1"/>
      <c r="AA701" s="1"/>
      <c r="AC701" s="1"/>
      <c r="AE701" s="1"/>
      <c r="AG701" s="1"/>
      <c r="AI701" s="1"/>
      <c r="AK701" s="1"/>
      <c r="AO701" s="1"/>
      <c r="AP701" s="1"/>
      <c r="AQ701" s="1"/>
      <c r="AR701" s="1"/>
      <c r="AT701" s="1"/>
      <c r="AU701" s="1"/>
      <c r="AV701" s="1"/>
      <c r="AW701" s="1"/>
      <c r="AX701" s="1"/>
      <c r="AY701" s="1"/>
    </row>
    <row r="702" spans="1:51" ht="15.75" customHeight="1" x14ac:dyDescent="0.2">
      <c r="A702" s="245"/>
      <c r="B702" s="244"/>
      <c r="C702" s="245"/>
      <c r="D702" s="1"/>
      <c r="E702" s="290"/>
      <c r="F702" s="1"/>
      <c r="L702" s="246"/>
      <c r="W702" s="1"/>
      <c r="Y702" s="1"/>
      <c r="AA702" s="1"/>
      <c r="AC702" s="1"/>
      <c r="AE702" s="1"/>
      <c r="AG702" s="1"/>
      <c r="AI702" s="1"/>
      <c r="AK702" s="1"/>
      <c r="AO702" s="1"/>
      <c r="AP702" s="1"/>
      <c r="AQ702" s="1"/>
      <c r="AR702" s="1"/>
      <c r="AT702" s="1"/>
      <c r="AU702" s="1"/>
      <c r="AV702" s="1"/>
      <c r="AW702" s="1"/>
      <c r="AX702" s="1"/>
      <c r="AY702" s="1"/>
    </row>
    <row r="703" spans="1:51" ht="15.75" customHeight="1" x14ac:dyDescent="0.2">
      <c r="A703" s="245"/>
      <c r="B703" s="244"/>
      <c r="C703" s="245"/>
      <c r="D703" s="1"/>
      <c r="E703" s="290"/>
      <c r="F703" s="1"/>
      <c r="L703" s="246"/>
      <c r="W703" s="1"/>
      <c r="Y703" s="1"/>
      <c r="AA703" s="1"/>
      <c r="AC703" s="1"/>
      <c r="AE703" s="1"/>
      <c r="AG703" s="1"/>
      <c r="AI703" s="1"/>
      <c r="AK703" s="1"/>
      <c r="AO703" s="1"/>
      <c r="AP703" s="1"/>
      <c r="AQ703" s="1"/>
      <c r="AR703" s="1"/>
      <c r="AT703" s="1"/>
      <c r="AU703" s="1"/>
      <c r="AV703" s="1"/>
      <c r="AW703" s="1"/>
      <c r="AX703" s="1"/>
      <c r="AY703" s="1"/>
    </row>
    <row r="704" spans="1:51" ht="15.75" customHeight="1" x14ac:dyDescent="0.2">
      <c r="A704" s="245"/>
      <c r="B704" s="244"/>
      <c r="C704" s="245"/>
      <c r="D704" s="1"/>
      <c r="E704" s="290"/>
      <c r="F704" s="1"/>
      <c r="L704" s="246"/>
      <c r="W704" s="1"/>
      <c r="Y704" s="1"/>
      <c r="AA704" s="1"/>
      <c r="AC704" s="1"/>
      <c r="AE704" s="1"/>
      <c r="AG704" s="1"/>
      <c r="AI704" s="1"/>
      <c r="AK704" s="1"/>
      <c r="AO704" s="1"/>
      <c r="AP704" s="1"/>
      <c r="AQ704" s="1"/>
      <c r="AR704" s="1"/>
      <c r="AT704" s="1"/>
      <c r="AU704" s="1"/>
      <c r="AV704" s="1"/>
      <c r="AW704" s="1"/>
      <c r="AX704" s="1"/>
      <c r="AY704" s="1"/>
    </row>
    <row r="705" spans="1:51" ht="15.75" customHeight="1" x14ac:dyDescent="0.2">
      <c r="A705" s="245"/>
      <c r="B705" s="244"/>
      <c r="C705" s="245"/>
      <c r="D705" s="1"/>
      <c r="E705" s="290"/>
      <c r="F705" s="1"/>
      <c r="L705" s="246"/>
      <c r="W705" s="1"/>
      <c r="Y705" s="1"/>
      <c r="AA705" s="1"/>
      <c r="AC705" s="1"/>
      <c r="AE705" s="1"/>
      <c r="AG705" s="1"/>
      <c r="AI705" s="1"/>
      <c r="AK705" s="1"/>
      <c r="AO705" s="1"/>
      <c r="AP705" s="1"/>
      <c r="AQ705" s="1"/>
      <c r="AR705" s="1"/>
      <c r="AT705" s="1"/>
      <c r="AU705" s="1"/>
      <c r="AV705" s="1"/>
      <c r="AW705" s="1"/>
      <c r="AX705" s="1"/>
      <c r="AY705" s="1"/>
    </row>
    <row r="706" spans="1:51" ht="15.75" customHeight="1" x14ac:dyDescent="0.2">
      <c r="A706" s="245"/>
      <c r="B706" s="244"/>
      <c r="C706" s="245"/>
      <c r="D706" s="1"/>
      <c r="E706" s="290"/>
      <c r="F706" s="1"/>
      <c r="L706" s="246"/>
      <c r="W706" s="1"/>
      <c r="Y706" s="1"/>
      <c r="AA706" s="1"/>
      <c r="AC706" s="1"/>
      <c r="AE706" s="1"/>
      <c r="AG706" s="1"/>
      <c r="AI706" s="1"/>
      <c r="AK706" s="1"/>
      <c r="AO706" s="1"/>
      <c r="AP706" s="1"/>
      <c r="AQ706" s="1"/>
      <c r="AR706" s="1"/>
      <c r="AT706" s="1"/>
      <c r="AU706" s="1"/>
      <c r="AV706" s="1"/>
      <c r="AW706" s="1"/>
      <c r="AX706" s="1"/>
      <c r="AY706" s="1"/>
    </row>
    <row r="707" spans="1:51" ht="15.75" customHeight="1" x14ac:dyDescent="0.2">
      <c r="A707" s="245"/>
      <c r="B707" s="244"/>
      <c r="C707" s="245"/>
      <c r="D707" s="1"/>
      <c r="E707" s="290"/>
      <c r="F707" s="1"/>
      <c r="L707" s="246"/>
      <c r="W707" s="1"/>
      <c r="Y707" s="1"/>
      <c r="AA707" s="1"/>
      <c r="AC707" s="1"/>
      <c r="AE707" s="1"/>
      <c r="AG707" s="1"/>
      <c r="AI707" s="1"/>
      <c r="AK707" s="1"/>
      <c r="AO707" s="1"/>
      <c r="AP707" s="1"/>
      <c r="AQ707" s="1"/>
      <c r="AR707" s="1"/>
      <c r="AT707" s="1"/>
      <c r="AU707" s="1"/>
      <c r="AV707" s="1"/>
      <c r="AW707" s="1"/>
      <c r="AX707" s="1"/>
      <c r="AY707" s="1"/>
    </row>
    <row r="708" spans="1:51" ht="15.75" customHeight="1" x14ac:dyDescent="0.2">
      <c r="A708" s="245"/>
      <c r="B708" s="244"/>
      <c r="C708" s="245"/>
      <c r="D708" s="1"/>
      <c r="E708" s="290"/>
      <c r="F708" s="1"/>
      <c r="L708" s="246"/>
      <c r="W708" s="1"/>
      <c r="Y708" s="1"/>
      <c r="AA708" s="1"/>
      <c r="AC708" s="1"/>
      <c r="AE708" s="1"/>
      <c r="AG708" s="1"/>
      <c r="AI708" s="1"/>
      <c r="AK708" s="1"/>
      <c r="AO708" s="1"/>
      <c r="AP708" s="1"/>
      <c r="AQ708" s="1"/>
      <c r="AR708" s="1"/>
      <c r="AT708" s="1"/>
      <c r="AU708" s="1"/>
      <c r="AV708" s="1"/>
      <c r="AW708" s="1"/>
      <c r="AX708" s="1"/>
      <c r="AY708" s="1"/>
    </row>
    <row r="709" spans="1:51" ht="15.75" customHeight="1" x14ac:dyDescent="0.2">
      <c r="A709" s="245"/>
      <c r="B709" s="244"/>
      <c r="C709" s="245"/>
      <c r="D709" s="1"/>
      <c r="E709" s="290"/>
      <c r="F709" s="1"/>
      <c r="L709" s="246"/>
      <c r="W709" s="1"/>
      <c r="Y709" s="1"/>
      <c r="AA709" s="1"/>
      <c r="AC709" s="1"/>
      <c r="AE709" s="1"/>
      <c r="AG709" s="1"/>
      <c r="AI709" s="1"/>
      <c r="AK709" s="1"/>
      <c r="AO709" s="1"/>
      <c r="AP709" s="1"/>
      <c r="AQ709" s="1"/>
      <c r="AR709" s="1"/>
      <c r="AT709" s="1"/>
      <c r="AU709" s="1"/>
      <c r="AV709" s="1"/>
      <c r="AW709" s="1"/>
      <c r="AX709" s="1"/>
      <c r="AY709" s="1"/>
    </row>
    <row r="710" spans="1:51" ht="15.75" customHeight="1" x14ac:dyDescent="0.2">
      <c r="A710" s="245"/>
      <c r="B710" s="244"/>
      <c r="C710" s="245"/>
      <c r="D710" s="1"/>
      <c r="E710" s="290"/>
      <c r="F710" s="1"/>
      <c r="L710" s="246"/>
      <c r="W710" s="1"/>
      <c r="Y710" s="1"/>
      <c r="AA710" s="1"/>
      <c r="AC710" s="1"/>
      <c r="AE710" s="1"/>
      <c r="AG710" s="1"/>
      <c r="AI710" s="1"/>
      <c r="AK710" s="1"/>
      <c r="AO710" s="1"/>
      <c r="AP710" s="1"/>
      <c r="AQ710" s="1"/>
      <c r="AR710" s="1"/>
      <c r="AT710" s="1"/>
      <c r="AU710" s="1"/>
      <c r="AV710" s="1"/>
      <c r="AW710" s="1"/>
      <c r="AX710" s="1"/>
      <c r="AY710" s="1"/>
    </row>
    <row r="711" spans="1:51" ht="15.75" customHeight="1" x14ac:dyDescent="0.2">
      <c r="A711" s="245"/>
      <c r="B711" s="244"/>
      <c r="C711" s="245"/>
      <c r="D711" s="1"/>
      <c r="E711" s="290"/>
      <c r="F711" s="1"/>
      <c r="L711" s="246"/>
      <c r="W711" s="1"/>
      <c r="Y711" s="1"/>
      <c r="AA711" s="1"/>
      <c r="AC711" s="1"/>
      <c r="AE711" s="1"/>
      <c r="AG711" s="1"/>
      <c r="AI711" s="1"/>
      <c r="AK711" s="1"/>
      <c r="AO711" s="1"/>
      <c r="AP711" s="1"/>
      <c r="AQ711" s="1"/>
      <c r="AR711" s="1"/>
      <c r="AT711" s="1"/>
      <c r="AU711" s="1"/>
      <c r="AV711" s="1"/>
      <c r="AW711" s="1"/>
      <c r="AX711" s="1"/>
      <c r="AY711" s="1"/>
    </row>
    <row r="712" spans="1:51" ht="15.75" customHeight="1" x14ac:dyDescent="0.2">
      <c r="A712" s="245"/>
      <c r="B712" s="244"/>
      <c r="C712" s="245"/>
      <c r="D712" s="1"/>
      <c r="E712" s="290"/>
      <c r="F712" s="1"/>
      <c r="L712" s="246"/>
      <c r="W712" s="1"/>
      <c r="Y712" s="1"/>
      <c r="AA712" s="1"/>
      <c r="AC712" s="1"/>
      <c r="AE712" s="1"/>
      <c r="AG712" s="1"/>
      <c r="AI712" s="1"/>
      <c r="AK712" s="1"/>
      <c r="AO712" s="1"/>
      <c r="AP712" s="1"/>
      <c r="AQ712" s="1"/>
      <c r="AR712" s="1"/>
      <c r="AT712" s="1"/>
      <c r="AU712" s="1"/>
      <c r="AV712" s="1"/>
      <c r="AW712" s="1"/>
      <c r="AX712" s="1"/>
      <c r="AY712" s="1"/>
    </row>
    <row r="713" spans="1:51" ht="15.75" customHeight="1" x14ac:dyDescent="0.2">
      <c r="A713" s="245"/>
      <c r="B713" s="244"/>
      <c r="C713" s="245"/>
      <c r="D713" s="1"/>
      <c r="E713" s="290"/>
      <c r="F713" s="1"/>
      <c r="L713" s="246"/>
      <c r="W713" s="1"/>
      <c r="Y713" s="1"/>
      <c r="AA713" s="1"/>
      <c r="AC713" s="1"/>
      <c r="AE713" s="1"/>
      <c r="AG713" s="1"/>
      <c r="AI713" s="1"/>
      <c r="AK713" s="1"/>
      <c r="AO713" s="1"/>
      <c r="AP713" s="1"/>
      <c r="AQ713" s="1"/>
      <c r="AR713" s="1"/>
      <c r="AT713" s="1"/>
      <c r="AU713" s="1"/>
      <c r="AV713" s="1"/>
      <c r="AW713" s="1"/>
      <c r="AX713" s="1"/>
      <c r="AY713" s="1"/>
    </row>
    <row r="714" spans="1:51" ht="15.75" customHeight="1" x14ac:dyDescent="0.2">
      <c r="A714" s="245"/>
      <c r="B714" s="244"/>
      <c r="C714" s="245"/>
      <c r="D714" s="1"/>
      <c r="E714" s="290"/>
      <c r="F714" s="1"/>
      <c r="L714" s="246"/>
      <c r="W714" s="1"/>
      <c r="Y714" s="1"/>
      <c r="AA714" s="1"/>
      <c r="AC714" s="1"/>
      <c r="AE714" s="1"/>
      <c r="AG714" s="1"/>
      <c r="AI714" s="1"/>
      <c r="AK714" s="1"/>
      <c r="AO714" s="1"/>
      <c r="AP714" s="1"/>
      <c r="AQ714" s="1"/>
      <c r="AR714" s="1"/>
      <c r="AT714" s="1"/>
      <c r="AU714" s="1"/>
      <c r="AV714" s="1"/>
      <c r="AW714" s="1"/>
      <c r="AX714" s="1"/>
      <c r="AY714" s="1"/>
    </row>
    <row r="715" spans="1:51" ht="15.75" customHeight="1" x14ac:dyDescent="0.2">
      <c r="A715" s="245"/>
      <c r="B715" s="244"/>
      <c r="C715" s="245"/>
      <c r="D715" s="1"/>
      <c r="E715" s="290"/>
      <c r="F715" s="1"/>
      <c r="L715" s="246"/>
      <c r="W715" s="1"/>
      <c r="Y715" s="1"/>
      <c r="AA715" s="1"/>
      <c r="AC715" s="1"/>
      <c r="AE715" s="1"/>
      <c r="AG715" s="1"/>
      <c r="AI715" s="1"/>
      <c r="AK715" s="1"/>
      <c r="AO715" s="1"/>
      <c r="AP715" s="1"/>
      <c r="AQ715" s="1"/>
      <c r="AR715" s="1"/>
      <c r="AT715" s="1"/>
      <c r="AU715" s="1"/>
      <c r="AV715" s="1"/>
      <c r="AW715" s="1"/>
      <c r="AX715" s="1"/>
      <c r="AY715" s="1"/>
    </row>
    <row r="716" spans="1:51" ht="15.75" customHeight="1" x14ac:dyDescent="0.2">
      <c r="A716" s="245"/>
      <c r="B716" s="244"/>
      <c r="C716" s="245"/>
      <c r="D716" s="1"/>
      <c r="E716" s="290"/>
      <c r="F716" s="1"/>
      <c r="L716" s="246"/>
      <c r="W716" s="1"/>
      <c r="Y716" s="1"/>
      <c r="AA716" s="1"/>
      <c r="AC716" s="1"/>
      <c r="AE716" s="1"/>
      <c r="AG716" s="1"/>
      <c r="AI716" s="1"/>
      <c r="AK716" s="1"/>
      <c r="AO716" s="1"/>
      <c r="AP716" s="1"/>
      <c r="AQ716" s="1"/>
      <c r="AR716" s="1"/>
      <c r="AT716" s="1"/>
      <c r="AU716" s="1"/>
      <c r="AV716" s="1"/>
      <c r="AW716" s="1"/>
      <c r="AX716" s="1"/>
      <c r="AY716" s="1"/>
    </row>
    <row r="717" spans="1:51" ht="15.75" customHeight="1" x14ac:dyDescent="0.2">
      <c r="A717" s="245"/>
      <c r="B717" s="244"/>
      <c r="C717" s="245"/>
      <c r="D717" s="1"/>
      <c r="E717" s="290"/>
      <c r="F717" s="1"/>
      <c r="L717" s="246"/>
      <c r="W717" s="1"/>
      <c r="Y717" s="1"/>
      <c r="AA717" s="1"/>
      <c r="AC717" s="1"/>
      <c r="AE717" s="1"/>
      <c r="AG717" s="1"/>
      <c r="AI717" s="1"/>
      <c r="AK717" s="1"/>
      <c r="AO717" s="1"/>
      <c r="AP717" s="1"/>
      <c r="AQ717" s="1"/>
      <c r="AR717" s="1"/>
      <c r="AT717" s="1"/>
      <c r="AU717" s="1"/>
      <c r="AV717" s="1"/>
      <c r="AW717" s="1"/>
      <c r="AX717" s="1"/>
      <c r="AY717" s="1"/>
    </row>
    <row r="718" spans="1:51" ht="15.75" customHeight="1" x14ac:dyDescent="0.2">
      <c r="A718" s="245"/>
      <c r="B718" s="244"/>
      <c r="C718" s="245"/>
      <c r="D718" s="1"/>
      <c r="E718" s="290"/>
      <c r="F718" s="1"/>
      <c r="L718" s="246"/>
      <c r="W718" s="1"/>
      <c r="Y718" s="1"/>
      <c r="AA718" s="1"/>
      <c r="AC718" s="1"/>
      <c r="AE718" s="1"/>
      <c r="AG718" s="1"/>
      <c r="AI718" s="1"/>
      <c r="AK718" s="1"/>
      <c r="AO718" s="1"/>
      <c r="AP718" s="1"/>
      <c r="AQ718" s="1"/>
      <c r="AR718" s="1"/>
      <c r="AT718" s="1"/>
      <c r="AU718" s="1"/>
      <c r="AV718" s="1"/>
      <c r="AW718" s="1"/>
      <c r="AX718" s="1"/>
      <c r="AY718" s="1"/>
    </row>
    <row r="719" spans="1:51" ht="15.75" customHeight="1" x14ac:dyDescent="0.2">
      <c r="A719" s="245"/>
      <c r="B719" s="244"/>
      <c r="C719" s="245"/>
      <c r="D719" s="1"/>
      <c r="E719" s="290"/>
      <c r="F719" s="1"/>
      <c r="L719" s="246"/>
      <c r="W719" s="1"/>
      <c r="Y719" s="1"/>
      <c r="AA719" s="1"/>
      <c r="AC719" s="1"/>
      <c r="AE719" s="1"/>
      <c r="AG719" s="1"/>
      <c r="AI719" s="1"/>
      <c r="AK719" s="1"/>
      <c r="AO719" s="1"/>
      <c r="AP719" s="1"/>
      <c r="AQ719" s="1"/>
      <c r="AR719" s="1"/>
      <c r="AT719" s="1"/>
      <c r="AU719" s="1"/>
      <c r="AV719" s="1"/>
      <c r="AW719" s="1"/>
      <c r="AX719" s="1"/>
      <c r="AY719" s="1"/>
    </row>
    <row r="720" spans="1:51" ht="15.75" customHeight="1" x14ac:dyDescent="0.2">
      <c r="A720" s="245"/>
      <c r="B720" s="244"/>
      <c r="C720" s="245"/>
      <c r="D720" s="1"/>
      <c r="E720" s="290"/>
      <c r="F720" s="1"/>
      <c r="L720" s="246"/>
      <c r="W720" s="1"/>
      <c r="Y720" s="1"/>
      <c r="AA720" s="1"/>
      <c r="AC720" s="1"/>
      <c r="AE720" s="1"/>
      <c r="AG720" s="1"/>
      <c r="AI720" s="1"/>
      <c r="AK720" s="1"/>
      <c r="AO720" s="1"/>
      <c r="AP720" s="1"/>
      <c r="AQ720" s="1"/>
      <c r="AR720" s="1"/>
      <c r="AT720" s="1"/>
      <c r="AU720" s="1"/>
      <c r="AV720" s="1"/>
      <c r="AW720" s="1"/>
      <c r="AX720" s="1"/>
      <c r="AY720" s="1"/>
    </row>
    <row r="721" spans="1:51" ht="15.75" customHeight="1" x14ac:dyDescent="0.2">
      <c r="A721" s="245"/>
      <c r="B721" s="244"/>
      <c r="C721" s="245"/>
      <c r="D721" s="1"/>
      <c r="E721" s="290"/>
      <c r="F721" s="1"/>
      <c r="L721" s="246"/>
      <c r="W721" s="1"/>
      <c r="Y721" s="1"/>
      <c r="AA721" s="1"/>
      <c r="AC721" s="1"/>
      <c r="AE721" s="1"/>
      <c r="AG721" s="1"/>
      <c r="AI721" s="1"/>
      <c r="AK721" s="1"/>
      <c r="AO721" s="1"/>
      <c r="AP721" s="1"/>
      <c r="AQ721" s="1"/>
      <c r="AR721" s="1"/>
      <c r="AT721" s="1"/>
      <c r="AU721" s="1"/>
      <c r="AV721" s="1"/>
      <c r="AW721" s="1"/>
      <c r="AX721" s="1"/>
      <c r="AY721" s="1"/>
    </row>
    <row r="722" spans="1:51" ht="15.75" customHeight="1" x14ac:dyDescent="0.2">
      <c r="A722" s="245"/>
      <c r="B722" s="244"/>
      <c r="C722" s="245"/>
      <c r="D722" s="1"/>
      <c r="E722" s="290"/>
      <c r="F722" s="1"/>
      <c r="L722" s="246"/>
      <c r="W722" s="1"/>
      <c r="Y722" s="1"/>
      <c r="AA722" s="1"/>
      <c r="AC722" s="1"/>
      <c r="AE722" s="1"/>
      <c r="AG722" s="1"/>
      <c r="AI722" s="1"/>
      <c r="AK722" s="1"/>
      <c r="AO722" s="1"/>
      <c r="AP722" s="1"/>
      <c r="AQ722" s="1"/>
      <c r="AR722" s="1"/>
      <c r="AT722" s="1"/>
      <c r="AU722" s="1"/>
      <c r="AV722" s="1"/>
      <c r="AW722" s="1"/>
      <c r="AX722" s="1"/>
      <c r="AY722" s="1"/>
    </row>
    <row r="723" spans="1:51" ht="15.75" customHeight="1" x14ac:dyDescent="0.2">
      <c r="A723" s="245"/>
      <c r="B723" s="244"/>
      <c r="C723" s="245"/>
      <c r="D723" s="1"/>
      <c r="E723" s="290"/>
      <c r="F723" s="1"/>
      <c r="L723" s="246"/>
      <c r="W723" s="1"/>
      <c r="Y723" s="1"/>
      <c r="AA723" s="1"/>
      <c r="AC723" s="1"/>
      <c r="AE723" s="1"/>
      <c r="AG723" s="1"/>
      <c r="AI723" s="1"/>
      <c r="AK723" s="1"/>
      <c r="AO723" s="1"/>
      <c r="AP723" s="1"/>
      <c r="AQ723" s="1"/>
      <c r="AR723" s="1"/>
      <c r="AT723" s="1"/>
      <c r="AU723" s="1"/>
      <c r="AV723" s="1"/>
      <c r="AW723" s="1"/>
      <c r="AX723" s="1"/>
      <c r="AY723" s="1"/>
    </row>
    <row r="724" spans="1:51" ht="15.75" customHeight="1" x14ac:dyDescent="0.2">
      <c r="A724" s="245"/>
      <c r="B724" s="244"/>
      <c r="C724" s="245"/>
      <c r="D724" s="1"/>
      <c r="E724" s="290"/>
      <c r="F724" s="1"/>
      <c r="L724" s="246"/>
      <c r="W724" s="1"/>
      <c r="Y724" s="1"/>
      <c r="AA724" s="1"/>
      <c r="AC724" s="1"/>
      <c r="AE724" s="1"/>
      <c r="AG724" s="1"/>
      <c r="AI724" s="1"/>
      <c r="AK724" s="1"/>
      <c r="AO724" s="1"/>
      <c r="AP724" s="1"/>
      <c r="AQ724" s="1"/>
      <c r="AR724" s="1"/>
      <c r="AT724" s="1"/>
      <c r="AU724" s="1"/>
      <c r="AV724" s="1"/>
      <c r="AW724" s="1"/>
      <c r="AX724" s="1"/>
      <c r="AY724" s="1"/>
    </row>
    <row r="725" spans="1:51" ht="15.75" customHeight="1" x14ac:dyDescent="0.2">
      <c r="A725" s="245"/>
      <c r="B725" s="244"/>
      <c r="C725" s="245"/>
      <c r="D725" s="1"/>
      <c r="E725" s="290"/>
      <c r="F725" s="1"/>
      <c r="L725" s="246"/>
      <c r="W725" s="1"/>
      <c r="Y725" s="1"/>
      <c r="AA725" s="1"/>
      <c r="AC725" s="1"/>
      <c r="AE725" s="1"/>
      <c r="AG725" s="1"/>
      <c r="AI725" s="1"/>
      <c r="AK725" s="1"/>
      <c r="AO725" s="1"/>
      <c r="AP725" s="1"/>
      <c r="AQ725" s="1"/>
      <c r="AR725" s="1"/>
      <c r="AT725" s="1"/>
      <c r="AU725" s="1"/>
      <c r="AV725" s="1"/>
      <c r="AW725" s="1"/>
      <c r="AX725" s="1"/>
      <c r="AY725" s="1"/>
    </row>
    <row r="726" spans="1:51" ht="15.75" customHeight="1" x14ac:dyDescent="0.2">
      <c r="A726" s="245"/>
      <c r="B726" s="244"/>
      <c r="C726" s="245"/>
      <c r="D726" s="1"/>
      <c r="E726" s="290"/>
      <c r="F726" s="1"/>
      <c r="L726" s="246"/>
      <c r="W726" s="1"/>
      <c r="Y726" s="1"/>
      <c r="AA726" s="1"/>
      <c r="AC726" s="1"/>
      <c r="AE726" s="1"/>
      <c r="AG726" s="1"/>
      <c r="AI726" s="1"/>
      <c r="AK726" s="1"/>
      <c r="AO726" s="1"/>
      <c r="AP726" s="1"/>
      <c r="AQ726" s="1"/>
      <c r="AR726" s="1"/>
      <c r="AT726" s="1"/>
      <c r="AU726" s="1"/>
      <c r="AV726" s="1"/>
      <c r="AW726" s="1"/>
      <c r="AX726" s="1"/>
      <c r="AY726" s="1"/>
    </row>
    <row r="727" spans="1:51" ht="15.75" customHeight="1" x14ac:dyDescent="0.2">
      <c r="A727" s="245"/>
      <c r="B727" s="244"/>
      <c r="C727" s="245"/>
      <c r="D727" s="1"/>
      <c r="E727" s="290"/>
      <c r="F727" s="1"/>
      <c r="L727" s="246"/>
      <c r="W727" s="1"/>
      <c r="Y727" s="1"/>
      <c r="AA727" s="1"/>
      <c r="AC727" s="1"/>
      <c r="AE727" s="1"/>
      <c r="AG727" s="1"/>
      <c r="AI727" s="1"/>
      <c r="AK727" s="1"/>
      <c r="AO727" s="1"/>
      <c r="AP727" s="1"/>
      <c r="AQ727" s="1"/>
      <c r="AR727" s="1"/>
      <c r="AT727" s="1"/>
      <c r="AU727" s="1"/>
      <c r="AV727" s="1"/>
      <c r="AW727" s="1"/>
      <c r="AX727" s="1"/>
      <c r="AY727" s="1"/>
    </row>
    <row r="728" spans="1:51" ht="15.75" customHeight="1" x14ac:dyDescent="0.2">
      <c r="A728" s="245"/>
      <c r="B728" s="244"/>
      <c r="C728" s="245"/>
      <c r="D728" s="1"/>
      <c r="E728" s="290"/>
      <c r="F728" s="1"/>
      <c r="L728" s="246"/>
      <c r="W728" s="1"/>
      <c r="Y728" s="1"/>
      <c r="AA728" s="1"/>
      <c r="AC728" s="1"/>
      <c r="AE728" s="1"/>
      <c r="AG728" s="1"/>
      <c r="AI728" s="1"/>
      <c r="AK728" s="1"/>
      <c r="AO728" s="1"/>
      <c r="AP728" s="1"/>
      <c r="AQ728" s="1"/>
      <c r="AR728" s="1"/>
      <c r="AT728" s="1"/>
      <c r="AU728" s="1"/>
      <c r="AV728" s="1"/>
      <c r="AW728" s="1"/>
      <c r="AX728" s="1"/>
      <c r="AY728" s="1"/>
    </row>
    <row r="729" spans="1:51" ht="15.75" customHeight="1" x14ac:dyDescent="0.2">
      <c r="A729" s="245"/>
      <c r="B729" s="244"/>
      <c r="C729" s="245"/>
      <c r="D729" s="1"/>
      <c r="E729" s="290"/>
      <c r="F729" s="1"/>
      <c r="L729" s="246"/>
      <c r="W729" s="1"/>
      <c r="Y729" s="1"/>
      <c r="AA729" s="1"/>
      <c r="AC729" s="1"/>
      <c r="AE729" s="1"/>
      <c r="AG729" s="1"/>
      <c r="AI729" s="1"/>
      <c r="AK729" s="1"/>
      <c r="AO729" s="1"/>
      <c r="AP729" s="1"/>
      <c r="AQ729" s="1"/>
      <c r="AR729" s="1"/>
      <c r="AT729" s="1"/>
      <c r="AU729" s="1"/>
      <c r="AV729" s="1"/>
      <c r="AW729" s="1"/>
      <c r="AX729" s="1"/>
      <c r="AY729" s="1"/>
    </row>
    <row r="730" spans="1:51" ht="15.75" customHeight="1" x14ac:dyDescent="0.2">
      <c r="A730" s="245"/>
      <c r="B730" s="244"/>
      <c r="C730" s="245"/>
      <c r="D730" s="1"/>
      <c r="E730" s="290"/>
      <c r="F730" s="1"/>
      <c r="L730" s="246"/>
      <c r="W730" s="1"/>
      <c r="Y730" s="1"/>
      <c r="AA730" s="1"/>
      <c r="AC730" s="1"/>
      <c r="AE730" s="1"/>
      <c r="AG730" s="1"/>
      <c r="AI730" s="1"/>
      <c r="AK730" s="1"/>
      <c r="AO730" s="1"/>
      <c r="AP730" s="1"/>
      <c r="AQ730" s="1"/>
      <c r="AR730" s="1"/>
      <c r="AT730" s="1"/>
      <c r="AU730" s="1"/>
      <c r="AV730" s="1"/>
      <c r="AW730" s="1"/>
      <c r="AX730" s="1"/>
      <c r="AY730" s="1"/>
    </row>
    <row r="731" spans="1:51" ht="15.75" customHeight="1" x14ac:dyDescent="0.2">
      <c r="A731" s="245"/>
      <c r="B731" s="244"/>
      <c r="C731" s="245"/>
      <c r="D731" s="1"/>
      <c r="E731" s="290"/>
      <c r="F731" s="1"/>
      <c r="L731" s="246"/>
      <c r="W731" s="1"/>
      <c r="Y731" s="1"/>
      <c r="AA731" s="1"/>
      <c r="AC731" s="1"/>
      <c r="AE731" s="1"/>
      <c r="AG731" s="1"/>
      <c r="AI731" s="1"/>
      <c r="AK731" s="1"/>
      <c r="AO731" s="1"/>
      <c r="AP731" s="1"/>
      <c r="AQ731" s="1"/>
      <c r="AR731" s="1"/>
      <c r="AT731" s="1"/>
      <c r="AU731" s="1"/>
      <c r="AV731" s="1"/>
      <c r="AW731" s="1"/>
      <c r="AX731" s="1"/>
      <c r="AY731" s="1"/>
    </row>
    <row r="732" spans="1:51" ht="15.75" customHeight="1" x14ac:dyDescent="0.2">
      <c r="A732" s="245"/>
      <c r="B732" s="244"/>
      <c r="C732" s="245"/>
      <c r="D732" s="1"/>
      <c r="E732" s="290"/>
      <c r="F732" s="1"/>
      <c r="L732" s="246"/>
      <c r="W732" s="1"/>
      <c r="Y732" s="1"/>
      <c r="AA732" s="1"/>
      <c r="AC732" s="1"/>
      <c r="AE732" s="1"/>
      <c r="AG732" s="1"/>
      <c r="AI732" s="1"/>
      <c r="AK732" s="1"/>
      <c r="AO732" s="1"/>
      <c r="AP732" s="1"/>
      <c r="AQ732" s="1"/>
      <c r="AR732" s="1"/>
      <c r="AT732" s="1"/>
      <c r="AU732" s="1"/>
      <c r="AV732" s="1"/>
      <c r="AW732" s="1"/>
      <c r="AX732" s="1"/>
      <c r="AY732" s="1"/>
    </row>
    <row r="733" spans="1:51" ht="15.75" customHeight="1" x14ac:dyDescent="0.2">
      <c r="A733" s="245"/>
      <c r="B733" s="244"/>
      <c r="C733" s="245"/>
      <c r="D733" s="1"/>
      <c r="E733" s="290"/>
      <c r="F733" s="1"/>
      <c r="L733" s="246"/>
      <c r="W733" s="1"/>
      <c r="Y733" s="1"/>
      <c r="AA733" s="1"/>
      <c r="AC733" s="1"/>
      <c r="AE733" s="1"/>
      <c r="AG733" s="1"/>
      <c r="AI733" s="1"/>
      <c r="AK733" s="1"/>
      <c r="AO733" s="1"/>
      <c r="AP733" s="1"/>
      <c r="AQ733" s="1"/>
      <c r="AR733" s="1"/>
      <c r="AT733" s="1"/>
      <c r="AU733" s="1"/>
      <c r="AV733" s="1"/>
      <c r="AW733" s="1"/>
      <c r="AX733" s="1"/>
      <c r="AY733" s="1"/>
    </row>
    <row r="734" spans="1:51" ht="15.75" customHeight="1" x14ac:dyDescent="0.2">
      <c r="A734" s="245"/>
      <c r="B734" s="244"/>
      <c r="C734" s="245"/>
      <c r="D734" s="1"/>
      <c r="E734" s="290"/>
      <c r="F734" s="1"/>
      <c r="L734" s="246"/>
      <c r="W734" s="1"/>
      <c r="Y734" s="1"/>
      <c r="AA734" s="1"/>
      <c r="AC734" s="1"/>
      <c r="AE734" s="1"/>
      <c r="AG734" s="1"/>
      <c r="AI734" s="1"/>
      <c r="AK734" s="1"/>
      <c r="AO734" s="1"/>
      <c r="AP734" s="1"/>
      <c r="AQ734" s="1"/>
      <c r="AR734" s="1"/>
      <c r="AT734" s="1"/>
      <c r="AU734" s="1"/>
      <c r="AV734" s="1"/>
      <c r="AW734" s="1"/>
      <c r="AX734" s="1"/>
      <c r="AY734" s="1"/>
    </row>
    <row r="735" spans="1:51" ht="15.75" customHeight="1" x14ac:dyDescent="0.2">
      <c r="A735" s="245"/>
      <c r="B735" s="244"/>
      <c r="C735" s="245"/>
      <c r="D735" s="1"/>
      <c r="E735" s="290"/>
      <c r="F735" s="1"/>
      <c r="L735" s="246"/>
      <c r="W735" s="1"/>
      <c r="Y735" s="1"/>
      <c r="AA735" s="1"/>
      <c r="AC735" s="1"/>
      <c r="AE735" s="1"/>
      <c r="AG735" s="1"/>
      <c r="AI735" s="1"/>
      <c r="AK735" s="1"/>
      <c r="AO735" s="1"/>
      <c r="AP735" s="1"/>
      <c r="AQ735" s="1"/>
      <c r="AR735" s="1"/>
      <c r="AT735" s="1"/>
      <c r="AU735" s="1"/>
      <c r="AV735" s="1"/>
      <c r="AW735" s="1"/>
      <c r="AX735" s="1"/>
      <c r="AY735" s="1"/>
    </row>
    <row r="736" spans="1:51" ht="15.75" customHeight="1" x14ac:dyDescent="0.2">
      <c r="A736" s="245"/>
      <c r="B736" s="244"/>
      <c r="C736" s="245"/>
      <c r="D736" s="1"/>
      <c r="E736" s="290"/>
      <c r="F736" s="1"/>
      <c r="L736" s="246"/>
      <c r="W736" s="1"/>
      <c r="Y736" s="1"/>
      <c r="AA736" s="1"/>
      <c r="AC736" s="1"/>
      <c r="AE736" s="1"/>
      <c r="AG736" s="1"/>
      <c r="AI736" s="1"/>
      <c r="AK736" s="1"/>
      <c r="AO736" s="1"/>
      <c r="AP736" s="1"/>
      <c r="AQ736" s="1"/>
      <c r="AR736" s="1"/>
      <c r="AT736" s="1"/>
      <c r="AU736" s="1"/>
      <c r="AV736" s="1"/>
      <c r="AW736" s="1"/>
      <c r="AX736" s="1"/>
      <c r="AY736" s="1"/>
    </row>
    <row r="737" spans="1:51" ht="15.75" customHeight="1" x14ac:dyDescent="0.2">
      <c r="A737" s="245"/>
      <c r="B737" s="244"/>
      <c r="C737" s="245"/>
      <c r="D737" s="1"/>
      <c r="E737" s="290"/>
      <c r="F737" s="1"/>
      <c r="L737" s="246"/>
      <c r="W737" s="1"/>
      <c r="Y737" s="1"/>
      <c r="AA737" s="1"/>
      <c r="AC737" s="1"/>
      <c r="AE737" s="1"/>
      <c r="AG737" s="1"/>
      <c r="AI737" s="1"/>
      <c r="AK737" s="1"/>
      <c r="AO737" s="1"/>
      <c r="AP737" s="1"/>
      <c r="AQ737" s="1"/>
      <c r="AR737" s="1"/>
      <c r="AT737" s="1"/>
      <c r="AU737" s="1"/>
      <c r="AV737" s="1"/>
      <c r="AW737" s="1"/>
      <c r="AX737" s="1"/>
      <c r="AY737" s="1"/>
    </row>
    <row r="738" spans="1:51" ht="15.75" customHeight="1" x14ac:dyDescent="0.2">
      <c r="A738" s="245"/>
      <c r="B738" s="244"/>
      <c r="C738" s="245"/>
      <c r="D738" s="1"/>
      <c r="E738" s="290"/>
      <c r="F738" s="1"/>
      <c r="L738" s="246"/>
      <c r="W738" s="1"/>
      <c r="Y738" s="1"/>
      <c r="AA738" s="1"/>
      <c r="AC738" s="1"/>
      <c r="AE738" s="1"/>
      <c r="AG738" s="1"/>
      <c r="AI738" s="1"/>
      <c r="AK738" s="1"/>
      <c r="AO738" s="1"/>
      <c r="AP738" s="1"/>
      <c r="AQ738" s="1"/>
      <c r="AR738" s="1"/>
      <c r="AT738" s="1"/>
      <c r="AU738" s="1"/>
      <c r="AV738" s="1"/>
      <c r="AW738" s="1"/>
      <c r="AX738" s="1"/>
      <c r="AY738" s="1"/>
    </row>
    <row r="739" spans="1:51" ht="15.75" customHeight="1" x14ac:dyDescent="0.2">
      <c r="A739" s="245"/>
      <c r="B739" s="244"/>
      <c r="C739" s="245"/>
      <c r="D739" s="1"/>
      <c r="E739" s="290"/>
      <c r="F739" s="1"/>
      <c r="L739" s="246"/>
      <c r="W739" s="1"/>
      <c r="Y739" s="1"/>
      <c r="AA739" s="1"/>
      <c r="AC739" s="1"/>
      <c r="AE739" s="1"/>
      <c r="AG739" s="1"/>
      <c r="AI739" s="1"/>
      <c r="AK739" s="1"/>
      <c r="AO739" s="1"/>
      <c r="AP739" s="1"/>
      <c r="AQ739" s="1"/>
      <c r="AR739" s="1"/>
      <c r="AT739" s="1"/>
      <c r="AU739" s="1"/>
      <c r="AV739" s="1"/>
      <c r="AW739" s="1"/>
      <c r="AX739" s="1"/>
      <c r="AY739" s="1"/>
    </row>
    <row r="740" spans="1:51" ht="15.75" customHeight="1" x14ac:dyDescent="0.2">
      <c r="A740" s="245"/>
      <c r="B740" s="244"/>
      <c r="C740" s="245"/>
      <c r="D740" s="1"/>
      <c r="E740" s="290"/>
      <c r="F740" s="1"/>
      <c r="L740" s="246"/>
      <c r="W740" s="1"/>
      <c r="Y740" s="1"/>
      <c r="AA740" s="1"/>
      <c r="AC740" s="1"/>
      <c r="AE740" s="1"/>
      <c r="AG740" s="1"/>
      <c r="AI740" s="1"/>
      <c r="AK740" s="1"/>
      <c r="AO740" s="1"/>
      <c r="AP740" s="1"/>
      <c r="AQ740" s="1"/>
      <c r="AR740" s="1"/>
      <c r="AT740" s="1"/>
      <c r="AU740" s="1"/>
      <c r="AV740" s="1"/>
      <c r="AW740" s="1"/>
      <c r="AX740" s="1"/>
      <c r="AY740" s="1"/>
    </row>
    <row r="741" spans="1:51" ht="15.75" customHeight="1" x14ac:dyDescent="0.2">
      <c r="A741" s="245"/>
      <c r="B741" s="244"/>
      <c r="C741" s="245"/>
      <c r="D741" s="1"/>
      <c r="E741" s="290"/>
      <c r="F741" s="1"/>
      <c r="L741" s="246"/>
      <c r="W741" s="1"/>
      <c r="Y741" s="1"/>
      <c r="AA741" s="1"/>
      <c r="AC741" s="1"/>
      <c r="AE741" s="1"/>
      <c r="AG741" s="1"/>
      <c r="AI741" s="1"/>
      <c r="AK741" s="1"/>
      <c r="AO741" s="1"/>
      <c r="AP741" s="1"/>
      <c r="AQ741" s="1"/>
      <c r="AR741" s="1"/>
      <c r="AT741" s="1"/>
      <c r="AU741" s="1"/>
      <c r="AV741" s="1"/>
      <c r="AW741" s="1"/>
      <c r="AX741" s="1"/>
      <c r="AY741" s="1"/>
    </row>
    <row r="742" spans="1:51" ht="15.75" customHeight="1" x14ac:dyDescent="0.2">
      <c r="A742" s="245"/>
      <c r="B742" s="244"/>
      <c r="C742" s="245"/>
      <c r="D742" s="1"/>
      <c r="E742" s="290"/>
      <c r="F742" s="1"/>
      <c r="L742" s="246"/>
      <c r="W742" s="1"/>
      <c r="Y742" s="1"/>
      <c r="AA742" s="1"/>
      <c r="AC742" s="1"/>
      <c r="AE742" s="1"/>
      <c r="AG742" s="1"/>
      <c r="AI742" s="1"/>
      <c r="AK742" s="1"/>
      <c r="AO742" s="1"/>
      <c r="AP742" s="1"/>
      <c r="AQ742" s="1"/>
      <c r="AR742" s="1"/>
      <c r="AT742" s="1"/>
      <c r="AU742" s="1"/>
      <c r="AV742" s="1"/>
      <c r="AW742" s="1"/>
      <c r="AX742" s="1"/>
      <c r="AY742" s="1"/>
    </row>
    <row r="743" spans="1:51" ht="15.75" customHeight="1" x14ac:dyDescent="0.2">
      <c r="A743" s="245"/>
      <c r="B743" s="244"/>
      <c r="C743" s="245"/>
      <c r="D743" s="1"/>
      <c r="E743" s="290"/>
      <c r="F743" s="1"/>
      <c r="L743" s="246"/>
      <c r="W743" s="1"/>
      <c r="Y743" s="1"/>
      <c r="AA743" s="1"/>
      <c r="AC743" s="1"/>
      <c r="AE743" s="1"/>
      <c r="AG743" s="1"/>
      <c r="AI743" s="1"/>
      <c r="AK743" s="1"/>
      <c r="AO743" s="1"/>
      <c r="AP743" s="1"/>
      <c r="AQ743" s="1"/>
      <c r="AR743" s="1"/>
      <c r="AT743" s="1"/>
      <c r="AU743" s="1"/>
      <c r="AV743" s="1"/>
      <c r="AW743" s="1"/>
      <c r="AX743" s="1"/>
      <c r="AY743" s="1"/>
    </row>
    <row r="744" spans="1:51" ht="15.75" customHeight="1" x14ac:dyDescent="0.2">
      <c r="A744" s="245"/>
      <c r="B744" s="244"/>
      <c r="C744" s="245"/>
      <c r="D744" s="1"/>
      <c r="E744" s="290"/>
      <c r="F744" s="1"/>
      <c r="L744" s="246"/>
      <c r="W744" s="1"/>
      <c r="Y744" s="1"/>
      <c r="AA744" s="1"/>
      <c r="AC744" s="1"/>
      <c r="AE744" s="1"/>
      <c r="AG744" s="1"/>
      <c r="AI744" s="1"/>
      <c r="AK744" s="1"/>
      <c r="AO744" s="1"/>
      <c r="AP744" s="1"/>
      <c r="AQ744" s="1"/>
      <c r="AR744" s="1"/>
      <c r="AT744" s="1"/>
      <c r="AU744" s="1"/>
      <c r="AV744" s="1"/>
      <c r="AW744" s="1"/>
      <c r="AX744" s="1"/>
      <c r="AY744" s="1"/>
    </row>
    <row r="745" spans="1:51" ht="15.75" customHeight="1" x14ac:dyDescent="0.2">
      <c r="A745" s="245"/>
      <c r="B745" s="244"/>
      <c r="C745" s="245"/>
      <c r="D745" s="1"/>
      <c r="E745" s="290"/>
      <c r="F745" s="1"/>
      <c r="L745" s="246"/>
      <c r="W745" s="1"/>
      <c r="Y745" s="1"/>
      <c r="AA745" s="1"/>
      <c r="AC745" s="1"/>
      <c r="AE745" s="1"/>
      <c r="AG745" s="1"/>
      <c r="AI745" s="1"/>
      <c r="AK745" s="1"/>
      <c r="AO745" s="1"/>
      <c r="AP745" s="1"/>
      <c r="AQ745" s="1"/>
      <c r="AR745" s="1"/>
      <c r="AT745" s="1"/>
      <c r="AU745" s="1"/>
      <c r="AV745" s="1"/>
      <c r="AW745" s="1"/>
      <c r="AX745" s="1"/>
      <c r="AY745" s="1"/>
    </row>
    <row r="746" spans="1:51" ht="15.75" customHeight="1" x14ac:dyDescent="0.2">
      <c r="A746" s="245"/>
      <c r="B746" s="244"/>
      <c r="C746" s="245"/>
      <c r="D746" s="1"/>
      <c r="E746" s="290"/>
      <c r="F746" s="1"/>
      <c r="L746" s="246"/>
      <c r="W746" s="1"/>
      <c r="Y746" s="1"/>
      <c r="AA746" s="1"/>
      <c r="AC746" s="1"/>
      <c r="AE746" s="1"/>
      <c r="AG746" s="1"/>
      <c r="AI746" s="1"/>
      <c r="AK746" s="1"/>
      <c r="AO746" s="1"/>
      <c r="AP746" s="1"/>
      <c r="AQ746" s="1"/>
      <c r="AR746" s="1"/>
      <c r="AT746" s="1"/>
      <c r="AU746" s="1"/>
      <c r="AV746" s="1"/>
      <c r="AW746" s="1"/>
      <c r="AX746" s="1"/>
      <c r="AY746" s="1"/>
    </row>
    <row r="747" spans="1:51" ht="15.75" customHeight="1" x14ac:dyDescent="0.2">
      <c r="A747" s="245"/>
      <c r="B747" s="244"/>
      <c r="C747" s="245"/>
      <c r="D747" s="1"/>
      <c r="E747" s="290"/>
      <c r="F747" s="1"/>
      <c r="L747" s="246"/>
      <c r="W747" s="1"/>
      <c r="Y747" s="1"/>
      <c r="AA747" s="1"/>
      <c r="AC747" s="1"/>
      <c r="AE747" s="1"/>
      <c r="AG747" s="1"/>
      <c r="AI747" s="1"/>
      <c r="AK747" s="1"/>
      <c r="AO747" s="1"/>
      <c r="AP747" s="1"/>
      <c r="AQ747" s="1"/>
      <c r="AR747" s="1"/>
      <c r="AT747" s="1"/>
      <c r="AU747" s="1"/>
      <c r="AV747" s="1"/>
      <c r="AW747" s="1"/>
      <c r="AX747" s="1"/>
      <c r="AY747" s="1"/>
    </row>
    <row r="748" spans="1:51" ht="15.75" customHeight="1" x14ac:dyDescent="0.2">
      <c r="A748" s="245"/>
      <c r="B748" s="244"/>
      <c r="C748" s="245"/>
      <c r="D748" s="1"/>
      <c r="E748" s="290"/>
      <c r="F748" s="1"/>
      <c r="L748" s="246"/>
      <c r="W748" s="1"/>
      <c r="Y748" s="1"/>
      <c r="AA748" s="1"/>
      <c r="AC748" s="1"/>
      <c r="AE748" s="1"/>
      <c r="AG748" s="1"/>
      <c r="AI748" s="1"/>
      <c r="AK748" s="1"/>
      <c r="AO748" s="1"/>
      <c r="AP748" s="1"/>
      <c r="AQ748" s="1"/>
      <c r="AR748" s="1"/>
      <c r="AT748" s="1"/>
      <c r="AU748" s="1"/>
      <c r="AV748" s="1"/>
      <c r="AW748" s="1"/>
      <c r="AX748" s="1"/>
      <c r="AY748" s="1"/>
    </row>
    <row r="749" spans="1:51" ht="15.75" customHeight="1" x14ac:dyDescent="0.2">
      <c r="A749" s="245"/>
      <c r="B749" s="244"/>
      <c r="C749" s="245"/>
      <c r="D749" s="1"/>
      <c r="E749" s="290"/>
      <c r="F749" s="1"/>
      <c r="L749" s="246"/>
      <c r="W749" s="1"/>
      <c r="Y749" s="1"/>
      <c r="AA749" s="1"/>
      <c r="AC749" s="1"/>
      <c r="AE749" s="1"/>
      <c r="AG749" s="1"/>
      <c r="AI749" s="1"/>
      <c r="AK749" s="1"/>
      <c r="AO749" s="1"/>
      <c r="AP749" s="1"/>
      <c r="AQ749" s="1"/>
      <c r="AR749" s="1"/>
      <c r="AT749" s="1"/>
      <c r="AU749" s="1"/>
      <c r="AV749" s="1"/>
      <c r="AW749" s="1"/>
      <c r="AX749" s="1"/>
      <c r="AY749" s="1"/>
    </row>
    <row r="750" spans="1:51" ht="15.75" customHeight="1" x14ac:dyDescent="0.2">
      <c r="A750" s="245"/>
      <c r="B750" s="244"/>
      <c r="C750" s="245"/>
      <c r="D750" s="1"/>
      <c r="E750" s="290"/>
      <c r="F750" s="1"/>
      <c r="L750" s="246"/>
      <c r="W750" s="1"/>
      <c r="Y750" s="1"/>
      <c r="AA750" s="1"/>
      <c r="AC750" s="1"/>
      <c r="AE750" s="1"/>
      <c r="AG750" s="1"/>
      <c r="AI750" s="1"/>
      <c r="AK750" s="1"/>
      <c r="AO750" s="1"/>
      <c r="AP750" s="1"/>
      <c r="AQ750" s="1"/>
      <c r="AR750" s="1"/>
      <c r="AT750" s="1"/>
      <c r="AU750" s="1"/>
      <c r="AV750" s="1"/>
      <c r="AW750" s="1"/>
      <c r="AX750" s="1"/>
      <c r="AY750" s="1"/>
    </row>
    <row r="751" spans="1:51" ht="15.75" customHeight="1" x14ac:dyDescent="0.2">
      <c r="A751" s="245"/>
      <c r="B751" s="244"/>
      <c r="C751" s="245"/>
      <c r="D751" s="1"/>
      <c r="E751" s="290"/>
      <c r="F751" s="1"/>
      <c r="L751" s="246"/>
      <c r="W751" s="1"/>
      <c r="Y751" s="1"/>
      <c r="AA751" s="1"/>
      <c r="AC751" s="1"/>
      <c r="AE751" s="1"/>
      <c r="AG751" s="1"/>
      <c r="AI751" s="1"/>
      <c r="AK751" s="1"/>
      <c r="AO751" s="1"/>
      <c r="AP751" s="1"/>
      <c r="AQ751" s="1"/>
      <c r="AR751" s="1"/>
      <c r="AT751" s="1"/>
      <c r="AU751" s="1"/>
      <c r="AV751" s="1"/>
      <c r="AW751" s="1"/>
      <c r="AX751" s="1"/>
      <c r="AY751" s="1"/>
    </row>
    <row r="752" spans="1:51" ht="15.75" customHeight="1" x14ac:dyDescent="0.2">
      <c r="A752" s="245"/>
      <c r="B752" s="244"/>
      <c r="C752" s="245"/>
      <c r="D752" s="1"/>
      <c r="E752" s="290"/>
      <c r="F752" s="1"/>
      <c r="L752" s="246"/>
      <c r="W752" s="1"/>
      <c r="Y752" s="1"/>
      <c r="AA752" s="1"/>
      <c r="AC752" s="1"/>
      <c r="AE752" s="1"/>
      <c r="AG752" s="1"/>
      <c r="AI752" s="1"/>
      <c r="AK752" s="1"/>
      <c r="AO752" s="1"/>
      <c r="AP752" s="1"/>
      <c r="AQ752" s="1"/>
      <c r="AR752" s="1"/>
      <c r="AT752" s="1"/>
      <c r="AU752" s="1"/>
      <c r="AV752" s="1"/>
      <c r="AW752" s="1"/>
      <c r="AX752" s="1"/>
      <c r="AY752" s="1"/>
    </row>
    <row r="753" spans="1:51" ht="15.75" customHeight="1" x14ac:dyDescent="0.2">
      <c r="A753" s="245"/>
      <c r="B753" s="244"/>
      <c r="C753" s="245"/>
      <c r="D753" s="1"/>
      <c r="E753" s="290"/>
      <c r="F753" s="1"/>
      <c r="L753" s="246"/>
      <c r="W753" s="1"/>
      <c r="Y753" s="1"/>
      <c r="AA753" s="1"/>
      <c r="AC753" s="1"/>
      <c r="AE753" s="1"/>
      <c r="AG753" s="1"/>
      <c r="AI753" s="1"/>
      <c r="AK753" s="1"/>
      <c r="AO753" s="1"/>
      <c r="AP753" s="1"/>
      <c r="AQ753" s="1"/>
      <c r="AR753" s="1"/>
      <c r="AT753" s="1"/>
      <c r="AU753" s="1"/>
      <c r="AV753" s="1"/>
      <c r="AW753" s="1"/>
      <c r="AX753" s="1"/>
      <c r="AY753" s="1"/>
    </row>
    <row r="754" spans="1:51" ht="15.75" customHeight="1" x14ac:dyDescent="0.2">
      <c r="A754" s="245"/>
      <c r="B754" s="244"/>
      <c r="C754" s="245"/>
      <c r="D754" s="1"/>
      <c r="E754" s="290"/>
      <c r="F754" s="1"/>
      <c r="L754" s="246"/>
      <c r="W754" s="1"/>
      <c r="Y754" s="1"/>
      <c r="AA754" s="1"/>
      <c r="AC754" s="1"/>
      <c r="AE754" s="1"/>
      <c r="AG754" s="1"/>
      <c r="AI754" s="1"/>
      <c r="AK754" s="1"/>
      <c r="AO754" s="1"/>
      <c r="AP754" s="1"/>
      <c r="AQ754" s="1"/>
      <c r="AR754" s="1"/>
      <c r="AT754" s="1"/>
      <c r="AU754" s="1"/>
      <c r="AV754" s="1"/>
      <c r="AW754" s="1"/>
      <c r="AX754" s="1"/>
      <c r="AY754" s="1"/>
    </row>
    <row r="755" spans="1:51" ht="15.75" customHeight="1" x14ac:dyDescent="0.2">
      <c r="A755" s="245"/>
      <c r="B755" s="244"/>
      <c r="C755" s="245"/>
      <c r="D755" s="1"/>
      <c r="E755" s="290"/>
      <c r="F755" s="1"/>
      <c r="L755" s="246"/>
      <c r="W755" s="1"/>
      <c r="Y755" s="1"/>
      <c r="AA755" s="1"/>
      <c r="AC755" s="1"/>
      <c r="AE755" s="1"/>
      <c r="AG755" s="1"/>
      <c r="AI755" s="1"/>
      <c r="AK755" s="1"/>
      <c r="AO755" s="1"/>
      <c r="AP755" s="1"/>
      <c r="AQ755" s="1"/>
      <c r="AR755" s="1"/>
      <c r="AT755" s="1"/>
      <c r="AU755" s="1"/>
      <c r="AV755" s="1"/>
      <c r="AW755" s="1"/>
      <c r="AX755" s="1"/>
      <c r="AY755" s="1"/>
    </row>
    <row r="756" spans="1:51" ht="15.75" customHeight="1" x14ac:dyDescent="0.2">
      <c r="A756" s="245"/>
      <c r="B756" s="244"/>
      <c r="C756" s="245"/>
      <c r="D756" s="1"/>
      <c r="E756" s="290"/>
      <c r="F756" s="1"/>
      <c r="L756" s="246"/>
      <c r="W756" s="1"/>
      <c r="Y756" s="1"/>
      <c r="AA756" s="1"/>
      <c r="AC756" s="1"/>
      <c r="AE756" s="1"/>
      <c r="AG756" s="1"/>
      <c r="AI756" s="1"/>
      <c r="AK756" s="1"/>
      <c r="AO756" s="1"/>
      <c r="AP756" s="1"/>
      <c r="AQ756" s="1"/>
      <c r="AR756" s="1"/>
      <c r="AT756" s="1"/>
      <c r="AU756" s="1"/>
      <c r="AV756" s="1"/>
      <c r="AW756" s="1"/>
      <c r="AX756" s="1"/>
      <c r="AY756" s="1"/>
    </row>
    <row r="757" spans="1:51" ht="15.75" customHeight="1" x14ac:dyDescent="0.2">
      <c r="A757" s="245"/>
      <c r="B757" s="244"/>
      <c r="C757" s="245"/>
      <c r="D757" s="1"/>
      <c r="E757" s="290"/>
      <c r="F757" s="1"/>
      <c r="L757" s="246"/>
      <c r="W757" s="1"/>
      <c r="Y757" s="1"/>
      <c r="AA757" s="1"/>
      <c r="AC757" s="1"/>
      <c r="AE757" s="1"/>
      <c r="AG757" s="1"/>
      <c r="AI757" s="1"/>
      <c r="AK757" s="1"/>
      <c r="AO757" s="1"/>
      <c r="AP757" s="1"/>
      <c r="AQ757" s="1"/>
      <c r="AR757" s="1"/>
      <c r="AT757" s="1"/>
      <c r="AU757" s="1"/>
      <c r="AV757" s="1"/>
      <c r="AW757" s="1"/>
      <c r="AX757" s="1"/>
      <c r="AY757" s="1"/>
    </row>
    <row r="758" spans="1:51" ht="15.75" customHeight="1" x14ac:dyDescent="0.2">
      <c r="A758" s="245"/>
      <c r="B758" s="244"/>
      <c r="C758" s="245"/>
      <c r="D758" s="1"/>
      <c r="E758" s="290"/>
      <c r="F758" s="1"/>
      <c r="L758" s="246"/>
      <c r="W758" s="1"/>
      <c r="Y758" s="1"/>
      <c r="AA758" s="1"/>
      <c r="AC758" s="1"/>
      <c r="AE758" s="1"/>
      <c r="AG758" s="1"/>
      <c r="AI758" s="1"/>
      <c r="AK758" s="1"/>
      <c r="AO758" s="1"/>
      <c r="AP758" s="1"/>
      <c r="AQ758" s="1"/>
      <c r="AR758" s="1"/>
      <c r="AT758" s="1"/>
      <c r="AU758" s="1"/>
      <c r="AV758" s="1"/>
      <c r="AW758" s="1"/>
      <c r="AX758" s="1"/>
      <c r="AY758" s="1"/>
    </row>
    <row r="759" spans="1:51" ht="15.75" customHeight="1" x14ac:dyDescent="0.2">
      <c r="A759" s="245"/>
      <c r="B759" s="244"/>
      <c r="C759" s="245"/>
      <c r="D759" s="1"/>
      <c r="E759" s="290"/>
      <c r="F759" s="1"/>
      <c r="L759" s="246"/>
      <c r="W759" s="1"/>
      <c r="Y759" s="1"/>
      <c r="AA759" s="1"/>
      <c r="AC759" s="1"/>
      <c r="AE759" s="1"/>
      <c r="AG759" s="1"/>
      <c r="AI759" s="1"/>
      <c r="AK759" s="1"/>
      <c r="AO759" s="1"/>
      <c r="AP759" s="1"/>
      <c r="AQ759" s="1"/>
      <c r="AR759" s="1"/>
      <c r="AT759" s="1"/>
      <c r="AU759" s="1"/>
      <c r="AV759" s="1"/>
      <c r="AW759" s="1"/>
      <c r="AX759" s="1"/>
      <c r="AY759" s="1"/>
    </row>
    <row r="760" spans="1:51" ht="15.75" customHeight="1" x14ac:dyDescent="0.2">
      <c r="A760" s="245"/>
      <c r="B760" s="244"/>
      <c r="C760" s="245"/>
      <c r="D760" s="1"/>
      <c r="E760" s="290"/>
      <c r="F760" s="1"/>
      <c r="L760" s="246"/>
      <c r="W760" s="1"/>
      <c r="Y760" s="1"/>
      <c r="AA760" s="1"/>
      <c r="AC760" s="1"/>
      <c r="AE760" s="1"/>
      <c r="AG760" s="1"/>
      <c r="AI760" s="1"/>
      <c r="AK760" s="1"/>
      <c r="AO760" s="1"/>
      <c r="AP760" s="1"/>
      <c r="AQ760" s="1"/>
      <c r="AR760" s="1"/>
      <c r="AT760" s="1"/>
      <c r="AU760" s="1"/>
      <c r="AV760" s="1"/>
      <c r="AW760" s="1"/>
      <c r="AX760" s="1"/>
      <c r="AY760" s="1"/>
    </row>
    <row r="761" spans="1:51" ht="15.75" customHeight="1" x14ac:dyDescent="0.2">
      <c r="A761" s="245"/>
      <c r="B761" s="244"/>
      <c r="C761" s="245"/>
      <c r="D761" s="1"/>
      <c r="E761" s="290"/>
      <c r="F761" s="1"/>
      <c r="L761" s="246"/>
      <c r="W761" s="1"/>
      <c r="Y761" s="1"/>
      <c r="AA761" s="1"/>
      <c r="AC761" s="1"/>
      <c r="AE761" s="1"/>
      <c r="AG761" s="1"/>
      <c r="AI761" s="1"/>
      <c r="AK761" s="1"/>
      <c r="AO761" s="1"/>
      <c r="AP761" s="1"/>
      <c r="AQ761" s="1"/>
      <c r="AR761" s="1"/>
      <c r="AT761" s="1"/>
      <c r="AU761" s="1"/>
      <c r="AV761" s="1"/>
      <c r="AW761" s="1"/>
      <c r="AX761" s="1"/>
      <c r="AY761" s="1"/>
    </row>
    <row r="762" spans="1:51" ht="15.75" customHeight="1" x14ac:dyDescent="0.2">
      <c r="A762" s="245"/>
      <c r="B762" s="244"/>
      <c r="C762" s="245"/>
      <c r="D762" s="1"/>
      <c r="E762" s="290"/>
      <c r="F762" s="1"/>
      <c r="L762" s="246"/>
      <c r="W762" s="1"/>
      <c r="Y762" s="1"/>
      <c r="AA762" s="1"/>
      <c r="AC762" s="1"/>
      <c r="AE762" s="1"/>
      <c r="AG762" s="1"/>
      <c r="AI762" s="1"/>
      <c r="AK762" s="1"/>
      <c r="AO762" s="1"/>
      <c r="AP762" s="1"/>
      <c r="AQ762" s="1"/>
      <c r="AR762" s="1"/>
      <c r="AT762" s="1"/>
      <c r="AU762" s="1"/>
      <c r="AV762" s="1"/>
      <c r="AW762" s="1"/>
      <c r="AX762" s="1"/>
      <c r="AY762" s="1"/>
    </row>
    <row r="763" spans="1:51" ht="15.75" customHeight="1" x14ac:dyDescent="0.2">
      <c r="A763" s="245"/>
      <c r="B763" s="244"/>
      <c r="C763" s="245"/>
      <c r="D763" s="1"/>
      <c r="E763" s="290"/>
      <c r="F763" s="1"/>
      <c r="L763" s="246"/>
      <c r="W763" s="1"/>
      <c r="Y763" s="1"/>
      <c r="AA763" s="1"/>
      <c r="AC763" s="1"/>
      <c r="AE763" s="1"/>
      <c r="AG763" s="1"/>
      <c r="AI763" s="1"/>
      <c r="AK763" s="1"/>
      <c r="AO763" s="1"/>
      <c r="AP763" s="1"/>
      <c r="AQ763" s="1"/>
      <c r="AR763" s="1"/>
      <c r="AT763" s="1"/>
      <c r="AU763" s="1"/>
      <c r="AV763" s="1"/>
      <c r="AW763" s="1"/>
      <c r="AX763" s="1"/>
      <c r="AY763" s="1"/>
    </row>
    <row r="764" spans="1:51" ht="15.75" customHeight="1" x14ac:dyDescent="0.2">
      <c r="A764" s="245"/>
      <c r="B764" s="244"/>
      <c r="C764" s="245"/>
      <c r="D764" s="1"/>
      <c r="E764" s="290"/>
      <c r="F764" s="1"/>
      <c r="L764" s="246"/>
      <c r="W764" s="1"/>
      <c r="Y764" s="1"/>
      <c r="AA764" s="1"/>
      <c r="AC764" s="1"/>
      <c r="AE764" s="1"/>
      <c r="AG764" s="1"/>
      <c r="AI764" s="1"/>
      <c r="AK764" s="1"/>
      <c r="AO764" s="1"/>
      <c r="AP764" s="1"/>
      <c r="AQ764" s="1"/>
      <c r="AR764" s="1"/>
      <c r="AT764" s="1"/>
      <c r="AU764" s="1"/>
      <c r="AV764" s="1"/>
      <c r="AW764" s="1"/>
      <c r="AX764" s="1"/>
      <c r="AY764" s="1"/>
    </row>
    <row r="765" spans="1:51" ht="15.75" customHeight="1" x14ac:dyDescent="0.2">
      <c r="A765" s="245"/>
      <c r="B765" s="244"/>
      <c r="C765" s="245"/>
      <c r="D765" s="1"/>
      <c r="E765" s="290"/>
      <c r="F765" s="1"/>
      <c r="L765" s="246"/>
      <c r="W765" s="1"/>
      <c r="Y765" s="1"/>
      <c r="AA765" s="1"/>
      <c r="AC765" s="1"/>
      <c r="AE765" s="1"/>
      <c r="AG765" s="1"/>
      <c r="AI765" s="1"/>
      <c r="AK765" s="1"/>
      <c r="AO765" s="1"/>
      <c r="AP765" s="1"/>
      <c r="AQ765" s="1"/>
      <c r="AR765" s="1"/>
      <c r="AT765" s="1"/>
      <c r="AU765" s="1"/>
      <c r="AV765" s="1"/>
      <c r="AW765" s="1"/>
      <c r="AX765" s="1"/>
      <c r="AY765" s="1"/>
    </row>
    <row r="766" spans="1:51" ht="15.75" customHeight="1" x14ac:dyDescent="0.2">
      <c r="A766" s="245"/>
      <c r="B766" s="244"/>
      <c r="C766" s="245"/>
      <c r="D766" s="1"/>
      <c r="E766" s="290"/>
      <c r="F766" s="1"/>
      <c r="L766" s="246"/>
      <c r="W766" s="1"/>
      <c r="Y766" s="1"/>
      <c r="AA766" s="1"/>
      <c r="AC766" s="1"/>
      <c r="AE766" s="1"/>
      <c r="AG766" s="1"/>
      <c r="AI766" s="1"/>
      <c r="AK766" s="1"/>
      <c r="AO766" s="1"/>
      <c r="AP766" s="1"/>
      <c r="AQ766" s="1"/>
      <c r="AR766" s="1"/>
      <c r="AT766" s="1"/>
      <c r="AU766" s="1"/>
      <c r="AV766" s="1"/>
      <c r="AW766" s="1"/>
      <c r="AX766" s="1"/>
      <c r="AY766" s="1"/>
    </row>
    <row r="767" spans="1:51" ht="15.75" customHeight="1" x14ac:dyDescent="0.2">
      <c r="A767" s="245"/>
      <c r="B767" s="244"/>
      <c r="C767" s="245"/>
      <c r="D767" s="1"/>
      <c r="E767" s="290"/>
      <c r="F767" s="1"/>
      <c r="L767" s="246"/>
      <c r="W767" s="1"/>
      <c r="Y767" s="1"/>
      <c r="AA767" s="1"/>
      <c r="AC767" s="1"/>
      <c r="AE767" s="1"/>
      <c r="AG767" s="1"/>
      <c r="AI767" s="1"/>
      <c r="AK767" s="1"/>
      <c r="AO767" s="1"/>
      <c r="AP767" s="1"/>
      <c r="AQ767" s="1"/>
      <c r="AR767" s="1"/>
      <c r="AT767" s="1"/>
      <c r="AU767" s="1"/>
      <c r="AV767" s="1"/>
      <c r="AW767" s="1"/>
      <c r="AX767" s="1"/>
      <c r="AY767" s="1"/>
    </row>
    <row r="768" spans="1:51" ht="15.75" customHeight="1" x14ac:dyDescent="0.2">
      <c r="A768" s="245"/>
      <c r="B768" s="244"/>
      <c r="C768" s="245"/>
      <c r="D768" s="1"/>
      <c r="E768" s="290"/>
      <c r="F768" s="1"/>
      <c r="L768" s="246"/>
      <c r="W768" s="1"/>
      <c r="Y768" s="1"/>
      <c r="AA768" s="1"/>
      <c r="AC768" s="1"/>
      <c r="AE768" s="1"/>
      <c r="AG768" s="1"/>
      <c r="AI768" s="1"/>
      <c r="AK768" s="1"/>
      <c r="AO768" s="1"/>
      <c r="AP768" s="1"/>
      <c r="AQ768" s="1"/>
      <c r="AR768" s="1"/>
      <c r="AT768" s="1"/>
      <c r="AU768" s="1"/>
      <c r="AV768" s="1"/>
      <c r="AW768" s="1"/>
      <c r="AX768" s="1"/>
      <c r="AY768" s="1"/>
    </row>
    <row r="769" spans="1:51" ht="15.75" customHeight="1" x14ac:dyDescent="0.2">
      <c r="A769" s="245"/>
      <c r="B769" s="244"/>
      <c r="C769" s="245"/>
      <c r="D769" s="1"/>
      <c r="E769" s="290"/>
      <c r="F769" s="1"/>
      <c r="L769" s="246"/>
      <c r="W769" s="1"/>
      <c r="Y769" s="1"/>
      <c r="AA769" s="1"/>
      <c r="AC769" s="1"/>
      <c r="AE769" s="1"/>
      <c r="AG769" s="1"/>
      <c r="AI769" s="1"/>
      <c r="AK769" s="1"/>
      <c r="AO769" s="1"/>
      <c r="AP769" s="1"/>
      <c r="AQ769" s="1"/>
      <c r="AR769" s="1"/>
      <c r="AT769" s="1"/>
      <c r="AU769" s="1"/>
      <c r="AV769" s="1"/>
      <c r="AW769" s="1"/>
      <c r="AX769" s="1"/>
      <c r="AY769" s="1"/>
    </row>
    <row r="770" spans="1:51" ht="15.75" customHeight="1" x14ac:dyDescent="0.2">
      <c r="A770" s="245"/>
      <c r="B770" s="244"/>
      <c r="C770" s="245"/>
      <c r="D770" s="1"/>
      <c r="E770" s="290"/>
      <c r="F770" s="1"/>
      <c r="L770" s="246"/>
      <c r="W770" s="1"/>
      <c r="Y770" s="1"/>
      <c r="AA770" s="1"/>
      <c r="AC770" s="1"/>
      <c r="AE770" s="1"/>
      <c r="AG770" s="1"/>
      <c r="AI770" s="1"/>
      <c r="AK770" s="1"/>
      <c r="AO770" s="1"/>
      <c r="AP770" s="1"/>
      <c r="AQ770" s="1"/>
      <c r="AR770" s="1"/>
      <c r="AT770" s="1"/>
      <c r="AU770" s="1"/>
      <c r="AV770" s="1"/>
      <c r="AW770" s="1"/>
      <c r="AX770" s="1"/>
      <c r="AY770" s="1"/>
    </row>
    <row r="771" spans="1:51" ht="15.75" customHeight="1" x14ac:dyDescent="0.2">
      <c r="A771" s="245"/>
      <c r="B771" s="244"/>
      <c r="C771" s="245"/>
      <c r="D771" s="1"/>
      <c r="E771" s="290"/>
      <c r="F771" s="1"/>
      <c r="L771" s="246"/>
      <c r="W771" s="1"/>
      <c r="Y771" s="1"/>
      <c r="AA771" s="1"/>
      <c r="AC771" s="1"/>
      <c r="AE771" s="1"/>
      <c r="AG771" s="1"/>
      <c r="AI771" s="1"/>
      <c r="AK771" s="1"/>
      <c r="AO771" s="1"/>
      <c r="AP771" s="1"/>
      <c r="AQ771" s="1"/>
      <c r="AR771" s="1"/>
      <c r="AT771" s="1"/>
      <c r="AU771" s="1"/>
      <c r="AV771" s="1"/>
      <c r="AW771" s="1"/>
      <c r="AX771" s="1"/>
      <c r="AY771" s="1"/>
    </row>
    <row r="772" spans="1:51" ht="15.75" customHeight="1" x14ac:dyDescent="0.2">
      <c r="A772" s="245"/>
      <c r="B772" s="244"/>
      <c r="C772" s="245"/>
      <c r="D772" s="1"/>
      <c r="E772" s="290"/>
      <c r="F772" s="1"/>
      <c r="L772" s="246"/>
      <c r="W772" s="1"/>
      <c r="Y772" s="1"/>
      <c r="AA772" s="1"/>
      <c r="AC772" s="1"/>
      <c r="AE772" s="1"/>
      <c r="AG772" s="1"/>
      <c r="AI772" s="1"/>
      <c r="AK772" s="1"/>
      <c r="AO772" s="1"/>
      <c r="AP772" s="1"/>
      <c r="AQ772" s="1"/>
      <c r="AR772" s="1"/>
      <c r="AT772" s="1"/>
      <c r="AU772" s="1"/>
      <c r="AV772" s="1"/>
      <c r="AW772" s="1"/>
      <c r="AX772" s="1"/>
      <c r="AY772" s="1"/>
    </row>
    <row r="773" spans="1:51" ht="15.75" customHeight="1" x14ac:dyDescent="0.2">
      <c r="A773" s="245"/>
      <c r="B773" s="244"/>
      <c r="C773" s="245"/>
      <c r="D773" s="1"/>
      <c r="E773" s="290"/>
      <c r="F773" s="1"/>
      <c r="L773" s="246"/>
      <c r="W773" s="1"/>
      <c r="Y773" s="1"/>
      <c r="AA773" s="1"/>
      <c r="AC773" s="1"/>
      <c r="AE773" s="1"/>
      <c r="AG773" s="1"/>
      <c r="AI773" s="1"/>
      <c r="AK773" s="1"/>
      <c r="AO773" s="1"/>
      <c r="AP773" s="1"/>
      <c r="AQ773" s="1"/>
      <c r="AR773" s="1"/>
      <c r="AT773" s="1"/>
      <c r="AU773" s="1"/>
      <c r="AV773" s="1"/>
      <c r="AW773" s="1"/>
      <c r="AX773" s="1"/>
      <c r="AY773" s="1"/>
    </row>
    <row r="774" spans="1:51" ht="15.75" customHeight="1" x14ac:dyDescent="0.2">
      <c r="A774" s="245"/>
      <c r="B774" s="244"/>
      <c r="C774" s="245"/>
      <c r="D774" s="1"/>
      <c r="E774" s="290"/>
      <c r="F774" s="1"/>
      <c r="L774" s="246"/>
      <c r="W774" s="1"/>
      <c r="Y774" s="1"/>
      <c r="AA774" s="1"/>
      <c r="AC774" s="1"/>
      <c r="AE774" s="1"/>
      <c r="AG774" s="1"/>
      <c r="AI774" s="1"/>
      <c r="AK774" s="1"/>
      <c r="AO774" s="1"/>
      <c r="AP774" s="1"/>
      <c r="AQ774" s="1"/>
      <c r="AR774" s="1"/>
      <c r="AT774" s="1"/>
      <c r="AU774" s="1"/>
      <c r="AV774" s="1"/>
      <c r="AW774" s="1"/>
      <c r="AX774" s="1"/>
      <c r="AY774" s="1"/>
    </row>
    <row r="775" spans="1:51" ht="15.75" customHeight="1" x14ac:dyDescent="0.2">
      <c r="A775" s="245"/>
      <c r="B775" s="244"/>
      <c r="C775" s="245"/>
      <c r="D775" s="1"/>
      <c r="E775" s="290"/>
      <c r="F775" s="1"/>
      <c r="L775" s="246"/>
      <c r="W775" s="1"/>
      <c r="Y775" s="1"/>
      <c r="AA775" s="1"/>
      <c r="AC775" s="1"/>
      <c r="AE775" s="1"/>
      <c r="AG775" s="1"/>
      <c r="AI775" s="1"/>
      <c r="AK775" s="1"/>
      <c r="AO775" s="1"/>
      <c r="AP775" s="1"/>
      <c r="AQ775" s="1"/>
      <c r="AR775" s="1"/>
      <c r="AT775" s="1"/>
      <c r="AU775" s="1"/>
      <c r="AV775" s="1"/>
      <c r="AW775" s="1"/>
      <c r="AX775" s="1"/>
      <c r="AY775" s="1"/>
    </row>
    <row r="776" spans="1:51" ht="15.75" customHeight="1" x14ac:dyDescent="0.2">
      <c r="A776" s="245"/>
      <c r="B776" s="244"/>
      <c r="C776" s="245"/>
      <c r="D776" s="1"/>
      <c r="E776" s="290"/>
      <c r="F776" s="1"/>
      <c r="L776" s="246"/>
      <c r="W776" s="1"/>
      <c r="Y776" s="1"/>
      <c r="AA776" s="1"/>
      <c r="AC776" s="1"/>
      <c r="AE776" s="1"/>
      <c r="AG776" s="1"/>
      <c r="AI776" s="1"/>
      <c r="AK776" s="1"/>
      <c r="AO776" s="1"/>
      <c r="AP776" s="1"/>
      <c r="AQ776" s="1"/>
      <c r="AR776" s="1"/>
      <c r="AT776" s="1"/>
      <c r="AU776" s="1"/>
      <c r="AV776" s="1"/>
      <c r="AW776" s="1"/>
      <c r="AX776" s="1"/>
      <c r="AY776" s="1"/>
    </row>
    <row r="777" spans="1:51" ht="15.75" customHeight="1" x14ac:dyDescent="0.2">
      <c r="A777" s="245"/>
      <c r="B777" s="244"/>
      <c r="C777" s="245"/>
      <c r="D777" s="1"/>
      <c r="E777" s="290"/>
      <c r="F777" s="1"/>
      <c r="L777" s="246"/>
      <c r="W777" s="1"/>
      <c r="Y777" s="1"/>
      <c r="AA777" s="1"/>
      <c r="AC777" s="1"/>
      <c r="AE777" s="1"/>
      <c r="AG777" s="1"/>
      <c r="AI777" s="1"/>
      <c r="AK777" s="1"/>
      <c r="AO777" s="1"/>
      <c r="AP777" s="1"/>
      <c r="AQ777" s="1"/>
      <c r="AR777" s="1"/>
      <c r="AT777" s="1"/>
      <c r="AU777" s="1"/>
      <c r="AV777" s="1"/>
      <c r="AW777" s="1"/>
      <c r="AX777" s="1"/>
      <c r="AY777" s="1"/>
    </row>
    <row r="778" spans="1:51" ht="15.75" customHeight="1" x14ac:dyDescent="0.2">
      <c r="A778" s="245"/>
      <c r="B778" s="244"/>
      <c r="C778" s="245"/>
      <c r="D778" s="1"/>
      <c r="E778" s="290"/>
      <c r="F778" s="1"/>
      <c r="L778" s="246"/>
      <c r="W778" s="1"/>
      <c r="Y778" s="1"/>
      <c r="AA778" s="1"/>
      <c r="AC778" s="1"/>
      <c r="AE778" s="1"/>
      <c r="AG778" s="1"/>
      <c r="AI778" s="1"/>
      <c r="AK778" s="1"/>
      <c r="AO778" s="1"/>
      <c r="AP778" s="1"/>
      <c r="AQ778" s="1"/>
      <c r="AR778" s="1"/>
      <c r="AT778" s="1"/>
      <c r="AU778" s="1"/>
      <c r="AV778" s="1"/>
      <c r="AW778" s="1"/>
      <c r="AX778" s="1"/>
      <c r="AY778" s="1"/>
    </row>
    <row r="779" spans="1:51" ht="15.75" customHeight="1" x14ac:dyDescent="0.2">
      <c r="A779" s="245"/>
      <c r="B779" s="244"/>
      <c r="C779" s="245"/>
      <c r="D779" s="1"/>
      <c r="E779" s="290"/>
      <c r="F779" s="1"/>
      <c r="L779" s="246"/>
      <c r="W779" s="1"/>
      <c r="Y779" s="1"/>
      <c r="AA779" s="1"/>
      <c r="AC779" s="1"/>
      <c r="AE779" s="1"/>
      <c r="AG779" s="1"/>
      <c r="AI779" s="1"/>
      <c r="AK779" s="1"/>
      <c r="AO779" s="1"/>
      <c r="AP779" s="1"/>
      <c r="AQ779" s="1"/>
      <c r="AR779" s="1"/>
      <c r="AT779" s="1"/>
      <c r="AU779" s="1"/>
      <c r="AV779" s="1"/>
      <c r="AW779" s="1"/>
      <c r="AX779" s="1"/>
      <c r="AY779" s="1"/>
    </row>
    <row r="780" spans="1:51" ht="15.75" customHeight="1" x14ac:dyDescent="0.2">
      <c r="A780" s="245"/>
      <c r="B780" s="244"/>
      <c r="C780" s="245"/>
      <c r="D780" s="1"/>
      <c r="E780" s="290"/>
      <c r="F780" s="1"/>
      <c r="L780" s="246"/>
      <c r="W780" s="1"/>
      <c r="Y780" s="1"/>
      <c r="AA780" s="1"/>
      <c r="AC780" s="1"/>
      <c r="AE780" s="1"/>
      <c r="AG780" s="1"/>
      <c r="AI780" s="1"/>
      <c r="AK780" s="1"/>
      <c r="AO780" s="1"/>
      <c r="AP780" s="1"/>
      <c r="AQ780" s="1"/>
      <c r="AR780" s="1"/>
      <c r="AT780" s="1"/>
      <c r="AU780" s="1"/>
      <c r="AV780" s="1"/>
      <c r="AW780" s="1"/>
      <c r="AX780" s="1"/>
      <c r="AY780" s="1"/>
    </row>
    <row r="781" spans="1:51" ht="15.75" customHeight="1" x14ac:dyDescent="0.2">
      <c r="A781" s="245"/>
      <c r="B781" s="244"/>
      <c r="C781" s="245"/>
      <c r="D781" s="1"/>
      <c r="E781" s="290"/>
      <c r="F781" s="1"/>
      <c r="L781" s="246"/>
      <c r="W781" s="1"/>
      <c r="Y781" s="1"/>
      <c r="AA781" s="1"/>
      <c r="AC781" s="1"/>
      <c r="AE781" s="1"/>
      <c r="AG781" s="1"/>
      <c r="AI781" s="1"/>
      <c r="AK781" s="1"/>
      <c r="AO781" s="1"/>
      <c r="AP781" s="1"/>
      <c r="AQ781" s="1"/>
      <c r="AR781" s="1"/>
      <c r="AT781" s="1"/>
      <c r="AU781" s="1"/>
      <c r="AV781" s="1"/>
      <c r="AW781" s="1"/>
      <c r="AX781" s="1"/>
      <c r="AY781" s="1"/>
    </row>
    <row r="782" spans="1:51" ht="15.75" customHeight="1" x14ac:dyDescent="0.2">
      <c r="A782" s="245"/>
      <c r="B782" s="244"/>
      <c r="C782" s="245"/>
      <c r="D782" s="1"/>
      <c r="E782" s="290"/>
      <c r="F782" s="1"/>
      <c r="L782" s="246"/>
      <c r="W782" s="1"/>
      <c r="Y782" s="1"/>
      <c r="AA782" s="1"/>
      <c r="AC782" s="1"/>
      <c r="AE782" s="1"/>
      <c r="AG782" s="1"/>
      <c r="AI782" s="1"/>
      <c r="AK782" s="1"/>
      <c r="AO782" s="1"/>
      <c r="AP782" s="1"/>
      <c r="AQ782" s="1"/>
      <c r="AR782" s="1"/>
      <c r="AT782" s="1"/>
      <c r="AU782" s="1"/>
      <c r="AV782" s="1"/>
      <c r="AW782" s="1"/>
      <c r="AX782" s="1"/>
      <c r="AY782" s="1"/>
    </row>
    <row r="783" spans="1:51" ht="15.75" customHeight="1" x14ac:dyDescent="0.2">
      <c r="A783" s="245"/>
      <c r="B783" s="244"/>
      <c r="C783" s="245"/>
      <c r="D783" s="1"/>
      <c r="E783" s="290"/>
      <c r="F783" s="1"/>
      <c r="L783" s="246"/>
      <c r="W783" s="1"/>
      <c r="Y783" s="1"/>
      <c r="AA783" s="1"/>
      <c r="AC783" s="1"/>
      <c r="AE783" s="1"/>
      <c r="AG783" s="1"/>
      <c r="AI783" s="1"/>
      <c r="AK783" s="1"/>
      <c r="AO783" s="1"/>
      <c r="AP783" s="1"/>
      <c r="AQ783" s="1"/>
      <c r="AR783" s="1"/>
      <c r="AT783" s="1"/>
      <c r="AU783" s="1"/>
      <c r="AV783" s="1"/>
      <c r="AW783" s="1"/>
      <c r="AX783" s="1"/>
      <c r="AY783" s="1"/>
    </row>
    <row r="784" spans="1:51" ht="15.75" customHeight="1" x14ac:dyDescent="0.2">
      <c r="A784" s="245"/>
      <c r="B784" s="244"/>
      <c r="C784" s="245"/>
      <c r="D784" s="1"/>
      <c r="E784" s="290"/>
      <c r="F784" s="1"/>
      <c r="L784" s="246"/>
      <c r="W784" s="1"/>
      <c r="Y784" s="1"/>
      <c r="AA784" s="1"/>
      <c r="AC784" s="1"/>
      <c r="AE784" s="1"/>
      <c r="AG784" s="1"/>
      <c r="AI784" s="1"/>
      <c r="AK784" s="1"/>
      <c r="AO784" s="1"/>
      <c r="AP784" s="1"/>
      <c r="AQ784" s="1"/>
      <c r="AR784" s="1"/>
      <c r="AT784" s="1"/>
      <c r="AU784" s="1"/>
      <c r="AV784" s="1"/>
      <c r="AW784" s="1"/>
      <c r="AX784" s="1"/>
      <c r="AY784" s="1"/>
    </row>
    <row r="785" spans="1:51" ht="15.75" customHeight="1" x14ac:dyDescent="0.2">
      <c r="A785" s="245"/>
      <c r="B785" s="244"/>
      <c r="C785" s="245"/>
      <c r="D785" s="1"/>
      <c r="E785" s="290"/>
      <c r="F785" s="1"/>
      <c r="L785" s="246"/>
      <c r="W785" s="1"/>
      <c r="Y785" s="1"/>
      <c r="AA785" s="1"/>
      <c r="AC785" s="1"/>
      <c r="AE785" s="1"/>
      <c r="AG785" s="1"/>
      <c r="AI785" s="1"/>
      <c r="AK785" s="1"/>
      <c r="AO785" s="1"/>
      <c r="AP785" s="1"/>
      <c r="AQ785" s="1"/>
      <c r="AR785" s="1"/>
      <c r="AT785" s="1"/>
      <c r="AU785" s="1"/>
      <c r="AV785" s="1"/>
      <c r="AW785" s="1"/>
      <c r="AX785" s="1"/>
      <c r="AY785" s="1"/>
    </row>
    <row r="786" spans="1:51" ht="15.75" customHeight="1" x14ac:dyDescent="0.2">
      <c r="A786" s="245"/>
      <c r="B786" s="244"/>
      <c r="C786" s="245"/>
      <c r="D786" s="1"/>
      <c r="E786" s="290"/>
      <c r="F786" s="1"/>
      <c r="L786" s="246"/>
      <c r="W786" s="1"/>
      <c r="Y786" s="1"/>
      <c r="AA786" s="1"/>
      <c r="AC786" s="1"/>
      <c r="AE786" s="1"/>
      <c r="AG786" s="1"/>
      <c r="AI786" s="1"/>
      <c r="AK786" s="1"/>
      <c r="AO786" s="1"/>
      <c r="AP786" s="1"/>
      <c r="AQ786" s="1"/>
      <c r="AR786" s="1"/>
      <c r="AT786" s="1"/>
      <c r="AU786" s="1"/>
      <c r="AV786" s="1"/>
      <c r="AW786" s="1"/>
      <c r="AX786" s="1"/>
      <c r="AY786" s="1"/>
    </row>
    <row r="787" spans="1:51" ht="15.75" customHeight="1" x14ac:dyDescent="0.2">
      <c r="A787" s="245"/>
      <c r="B787" s="244"/>
      <c r="C787" s="245"/>
      <c r="D787" s="1"/>
      <c r="E787" s="290"/>
      <c r="F787" s="1"/>
      <c r="L787" s="246"/>
      <c r="W787" s="1"/>
      <c r="Y787" s="1"/>
      <c r="AA787" s="1"/>
      <c r="AC787" s="1"/>
      <c r="AE787" s="1"/>
      <c r="AG787" s="1"/>
      <c r="AI787" s="1"/>
      <c r="AK787" s="1"/>
      <c r="AO787" s="1"/>
      <c r="AP787" s="1"/>
      <c r="AQ787" s="1"/>
      <c r="AR787" s="1"/>
      <c r="AT787" s="1"/>
      <c r="AU787" s="1"/>
      <c r="AV787" s="1"/>
      <c r="AW787" s="1"/>
      <c r="AX787" s="1"/>
      <c r="AY787" s="1"/>
    </row>
    <row r="788" spans="1:51" ht="15.75" customHeight="1" x14ac:dyDescent="0.2">
      <c r="A788" s="245"/>
      <c r="B788" s="244"/>
      <c r="C788" s="245"/>
      <c r="D788" s="1"/>
      <c r="E788" s="290"/>
      <c r="F788" s="1"/>
      <c r="L788" s="246"/>
      <c r="W788" s="1"/>
      <c r="Y788" s="1"/>
      <c r="AA788" s="1"/>
      <c r="AC788" s="1"/>
      <c r="AE788" s="1"/>
      <c r="AG788" s="1"/>
      <c r="AI788" s="1"/>
      <c r="AK788" s="1"/>
      <c r="AO788" s="1"/>
      <c r="AP788" s="1"/>
      <c r="AQ788" s="1"/>
      <c r="AR788" s="1"/>
      <c r="AT788" s="1"/>
      <c r="AU788" s="1"/>
      <c r="AV788" s="1"/>
      <c r="AW788" s="1"/>
      <c r="AX788" s="1"/>
      <c r="AY788" s="1"/>
    </row>
    <row r="789" spans="1:51" ht="15.75" customHeight="1" x14ac:dyDescent="0.2">
      <c r="A789" s="245"/>
      <c r="B789" s="244"/>
      <c r="C789" s="245"/>
      <c r="D789" s="1"/>
      <c r="E789" s="290"/>
      <c r="F789" s="1"/>
      <c r="L789" s="246"/>
      <c r="W789" s="1"/>
      <c r="Y789" s="1"/>
      <c r="AA789" s="1"/>
      <c r="AC789" s="1"/>
      <c r="AE789" s="1"/>
      <c r="AG789" s="1"/>
      <c r="AI789" s="1"/>
      <c r="AK789" s="1"/>
      <c r="AO789" s="1"/>
      <c r="AP789" s="1"/>
      <c r="AQ789" s="1"/>
      <c r="AR789" s="1"/>
      <c r="AT789" s="1"/>
      <c r="AU789" s="1"/>
      <c r="AV789" s="1"/>
      <c r="AW789" s="1"/>
      <c r="AX789" s="1"/>
      <c r="AY789" s="1"/>
    </row>
    <row r="790" spans="1:51" ht="15.75" customHeight="1" x14ac:dyDescent="0.2">
      <c r="A790" s="245"/>
      <c r="B790" s="244"/>
      <c r="C790" s="245"/>
      <c r="D790" s="1"/>
      <c r="E790" s="290"/>
      <c r="F790" s="1"/>
      <c r="L790" s="246"/>
      <c r="W790" s="1"/>
      <c r="Y790" s="1"/>
      <c r="AA790" s="1"/>
      <c r="AC790" s="1"/>
      <c r="AE790" s="1"/>
      <c r="AG790" s="1"/>
      <c r="AI790" s="1"/>
      <c r="AK790" s="1"/>
      <c r="AO790" s="1"/>
      <c r="AP790" s="1"/>
      <c r="AQ790" s="1"/>
      <c r="AR790" s="1"/>
      <c r="AT790" s="1"/>
      <c r="AU790" s="1"/>
      <c r="AV790" s="1"/>
      <c r="AW790" s="1"/>
      <c r="AX790" s="1"/>
      <c r="AY790" s="1"/>
    </row>
    <row r="791" spans="1:51" ht="15.75" customHeight="1" x14ac:dyDescent="0.2">
      <c r="A791" s="245"/>
      <c r="B791" s="244"/>
      <c r="C791" s="245"/>
      <c r="D791" s="1"/>
      <c r="E791" s="290"/>
      <c r="F791" s="1"/>
      <c r="L791" s="246"/>
      <c r="W791" s="1"/>
      <c r="Y791" s="1"/>
      <c r="AA791" s="1"/>
      <c r="AC791" s="1"/>
      <c r="AE791" s="1"/>
      <c r="AG791" s="1"/>
      <c r="AI791" s="1"/>
      <c r="AK791" s="1"/>
      <c r="AO791" s="1"/>
      <c r="AP791" s="1"/>
      <c r="AQ791" s="1"/>
      <c r="AR791" s="1"/>
      <c r="AT791" s="1"/>
      <c r="AU791" s="1"/>
      <c r="AV791" s="1"/>
      <c r="AW791" s="1"/>
      <c r="AX791" s="1"/>
      <c r="AY791" s="1"/>
    </row>
    <row r="792" spans="1:51" ht="15.75" customHeight="1" x14ac:dyDescent="0.2">
      <c r="A792" s="245"/>
      <c r="B792" s="244"/>
      <c r="C792" s="245"/>
      <c r="D792" s="1"/>
      <c r="E792" s="290"/>
      <c r="F792" s="1"/>
      <c r="L792" s="246"/>
      <c r="W792" s="1"/>
      <c r="Y792" s="1"/>
      <c r="AA792" s="1"/>
      <c r="AC792" s="1"/>
      <c r="AE792" s="1"/>
      <c r="AG792" s="1"/>
      <c r="AI792" s="1"/>
      <c r="AK792" s="1"/>
      <c r="AO792" s="1"/>
      <c r="AP792" s="1"/>
      <c r="AQ792" s="1"/>
      <c r="AR792" s="1"/>
      <c r="AT792" s="1"/>
      <c r="AU792" s="1"/>
      <c r="AV792" s="1"/>
      <c r="AW792" s="1"/>
      <c r="AX792" s="1"/>
      <c r="AY792" s="1"/>
    </row>
    <row r="793" spans="1:51" ht="15.75" customHeight="1" x14ac:dyDescent="0.2">
      <c r="A793" s="245"/>
      <c r="B793" s="244"/>
      <c r="C793" s="245"/>
      <c r="D793" s="1"/>
      <c r="E793" s="290"/>
      <c r="F793" s="1"/>
      <c r="L793" s="246"/>
      <c r="W793" s="1"/>
      <c r="Y793" s="1"/>
      <c r="AA793" s="1"/>
      <c r="AC793" s="1"/>
      <c r="AE793" s="1"/>
      <c r="AG793" s="1"/>
      <c r="AI793" s="1"/>
      <c r="AK793" s="1"/>
      <c r="AO793" s="1"/>
      <c r="AP793" s="1"/>
      <c r="AQ793" s="1"/>
      <c r="AR793" s="1"/>
      <c r="AT793" s="1"/>
      <c r="AU793" s="1"/>
      <c r="AV793" s="1"/>
      <c r="AW793" s="1"/>
      <c r="AX793" s="1"/>
      <c r="AY793" s="1"/>
    </row>
    <row r="794" spans="1:51" ht="15.75" customHeight="1" x14ac:dyDescent="0.2">
      <c r="A794" s="245"/>
      <c r="B794" s="244"/>
      <c r="C794" s="245"/>
      <c r="D794" s="1"/>
      <c r="E794" s="290"/>
      <c r="F794" s="1"/>
      <c r="L794" s="246"/>
      <c r="W794" s="1"/>
      <c r="Y794" s="1"/>
      <c r="AA794" s="1"/>
      <c r="AC794" s="1"/>
      <c r="AE794" s="1"/>
      <c r="AG794" s="1"/>
      <c r="AI794" s="1"/>
      <c r="AK794" s="1"/>
      <c r="AO794" s="1"/>
      <c r="AP794" s="1"/>
      <c r="AQ794" s="1"/>
      <c r="AR794" s="1"/>
      <c r="AT794" s="1"/>
      <c r="AU794" s="1"/>
      <c r="AV794" s="1"/>
      <c r="AW794" s="1"/>
      <c r="AX794" s="1"/>
      <c r="AY794" s="1"/>
    </row>
    <row r="795" spans="1:51" ht="15.75" customHeight="1" x14ac:dyDescent="0.2">
      <c r="A795" s="245"/>
      <c r="B795" s="244"/>
      <c r="C795" s="245"/>
      <c r="D795" s="1"/>
      <c r="E795" s="290"/>
      <c r="F795" s="1"/>
      <c r="L795" s="246"/>
      <c r="W795" s="1"/>
      <c r="Y795" s="1"/>
      <c r="AA795" s="1"/>
      <c r="AC795" s="1"/>
      <c r="AE795" s="1"/>
      <c r="AG795" s="1"/>
      <c r="AI795" s="1"/>
      <c r="AK795" s="1"/>
      <c r="AO795" s="1"/>
      <c r="AP795" s="1"/>
      <c r="AQ795" s="1"/>
      <c r="AR795" s="1"/>
      <c r="AT795" s="1"/>
      <c r="AU795" s="1"/>
      <c r="AV795" s="1"/>
      <c r="AW795" s="1"/>
      <c r="AX795" s="1"/>
      <c r="AY795" s="1"/>
    </row>
    <row r="796" spans="1:51" ht="15.75" customHeight="1" x14ac:dyDescent="0.2">
      <c r="A796" s="245"/>
      <c r="B796" s="244"/>
      <c r="C796" s="245"/>
      <c r="D796" s="1"/>
      <c r="E796" s="290"/>
      <c r="F796" s="1"/>
      <c r="L796" s="246"/>
      <c r="W796" s="1"/>
      <c r="Y796" s="1"/>
      <c r="AA796" s="1"/>
      <c r="AC796" s="1"/>
      <c r="AE796" s="1"/>
      <c r="AG796" s="1"/>
      <c r="AI796" s="1"/>
      <c r="AK796" s="1"/>
      <c r="AO796" s="1"/>
      <c r="AP796" s="1"/>
      <c r="AQ796" s="1"/>
      <c r="AR796" s="1"/>
      <c r="AT796" s="1"/>
      <c r="AU796" s="1"/>
      <c r="AV796" s="1"/>
      <c r="AW796" s="1"/>
      <c r="AX796" s="1"/>
      <c r="AY796" s="1"/>
    </row>
    <row r="797" spans="1:51" ht="15.75" customHeight="1" x14ac:dyDescent="0.2">
      <c r="A797" s="245"/>
      <c r="B797" s="244"/>
      <c r="C797" s="245"/>
      <c r="D797" s="1"/>
      <c r="E797" s="290"/>
      <c r="F797" s="1"/>
      <c r="L797" s="246"/>
      <c r="W797" s="1"/>
      <c r="Y797" s="1"/>
      <c r="AA797" s="1"/>
      <c r="AC797" s="1"/>
      <c r="AE797" s="1"/>
      <c r="AG797" s="1"/>
      <c r="AI797" s="1"/>
      <c r="AK797" s="1"/>
      <c r="AO797" s="1"/>
      <c r="AP797" s="1"/>
      <c r="AQ797" s="1"/>
      <c r="AR797" s="1"/>
      <c r="AT797" s="1"/>
      <c r="AU797" s="1"/>
      <c r="AV797" s="1"/>
      <c r="AW797" s="1"/>
      <c r="AX797" s="1"/>
      <c r="AY797" s="1"/>
    </row>
    <row r="798" spans="1:51" ht="15.75" customHeight="1" x14ac:dyDescent="0.2">
      <c r="A798" s="245"/>
      <c r="B798" s="244"/>
      <c r="C798" s="245"/>
      <c r="D798" s="1"/>
      <c r="E798" s="290"/>
      <c r="F798" s="1"/>
      <c r="L798" s="246"/>
      <c r="W798" s="1"/>
      <c r="Y798" s="1"/>
      <c r="AA798" s="1"/>
      <c r="AC798" s="1"/>
      <c r="AE798" s="1"/>
      <c r="AG798" s="1"/>
      <c r="AI798" s="1"/>
      <c r="AK798" s="1"/>
      <c r="AO798" s="1"/>
      <c r="AP798" s="1"/>
      <c r="AQ798" s="1"/>
      <c r="AR798" s="1"/>
      <c r="AT798" s="1"/>
      <c r="AU798" s="1"/>
      <c r="AV798" s="1"/>
      <c r="AW798" s="1"/>
      <c r="AX798" s="1"/>
      <c r="AY798" s="1"/>
    </row>
    <row r="799" spans="1:51" ht="15.75" customHeight="1" x14ac:dyDescent="0.2">
      <c r="A799" s="245"/>
      <c r="B799" s="244"/>
      <c r="C799" s="245"/>
      <c r="D799" s="1"/>
      <c r="E799" s="290"/>
      <c r="F799" s="1"/>
      <c r="L799" s="246"/>
      <c r="W799" s="1"/>
      <c r="Y799" s="1"/>
      <c r="AA799" s="1"/>
      <c r="AC799" s="1"/>
      <c r="AE799" s="1"/>
      <c r="AG799" s="1"/>
      <c r="AI799" s="1"/>
      <c r="AK799" s="1"/>
      <c r="AO799" s="1"/>
      <c r="AP799" s="1"/>
      <c r="AQ799" s="1"/>
      <c r="AR799" s="1"/>
      <c r="AT799" s="1"/>
      <c r="AU799" s="1"/>
      <c r="AV799" s="1"/>
      <c r="AW799" s="1"/>
      <c r="AX799" s="1"/>
      <c r="AY799" s="1"/>
    </row>
    <row r="800" spans="1:51" ht="15.75" customHeight="1" x14ac:dyDescent="0.2">
      <c r="A800" s="245"/>
      <c r="B800" s="244"/>
      <c r="C800" s="245"/>
      <c r="D800" s="1"/>
      <c r="E800" s="290"/>
      <c r="F800" s="1"/>
      <c r="L800" s="246"/>
      <c r="W800" s="1"/>
      <c r="Y800" s="1"/>
      <c r="AA800" s="1"/>
      <c r="AC800" s="1"/>
      <c r="AE800" s="1"/>
      <c r="AG800" s="1"/>
      <c r="AI800" s="1"/>
      <c r="AK800" s="1"/>
      <c r="AO800" s="1"/>
      <c r="AP800" s="1"/>
      <c r="AQ800" s="1"/>
      <c r="AR800" s="1"/>
      <c r="AT800" s="1"/>
      <c r="AU800" s="1"/>
      <c r="AV800" s="1"/>
      <c r="AW800" s="1"/>
      <c r="AX800" s="1"/>
      <c r="AY800" s="1"/>
    </row>
    <row r="801" spans="1:51" ht="15.75" customHeight="1" x14ac:dyDescent="0.2">
      <c r="A801" s="245"/>
      <c r="B801" s="244"/>
      <c r="C801" s="245"/>
      <c r="D801" s="1"/>
      <c r="E801" s="290"/>
      <c r="F801" s="1"/>
      <c r="L801" s="246"/>
      <c r="W801" s="1"/>
      <c r="Y801" s="1"/>
      <c r="AA801" s="1"/>
      <c r="AC801" s="1"/>
      <c r="AE801" s="1"/>
      <c r="AG801" s="1"/>
      <c r="AI801" s="1"/>
      <c r="AK801" s="1"/>
      <c r="AO801" s="1"/>
      <c r="AP801" s="1"/>
      <c r="AQ801" s="1"/>
      <c r="AR801" s="1"/>
      <c r="AT801" s="1"/>
      <c r="AU801" s="1"/>
      <c r="AV801" s="1"/>
      <c r="AW801" s="1"/>
      <c r="AX801" s="1"/>
      <c r="AY801" s="1"/>
    </row>
    <row r="802" spans="1:51" ht="15.75" customHeight="1" x14ac:dyDescent="0.2">
      <c r="A802" s="245"/>
      <c r="B802" s="244"/>
      <c r="C802" s="245"/>
      <c r="D802" s="1"/>
      <c r="E802" s="290"/>
      <c r="F802" s="1"/>
      <c r="L802" s="246"/>
      <c r="W802" s="1"/>
      <c r="Y802" s="1"/>
      <c r="AA802" s="1"/>
      <c r="AC802" s="1"/>
      <c r="AE802" s="1"/>
      <c r="AG802" s="1"/>
      <c r="AI802" s="1"/>
      <c r="AK802" s="1"/>
      <c r="AO802" s="1"/>
      <c r="AP802" s="1"/>
      <c r="AQ802" s="1"/>
      <c r="AR802" s="1"/>
      <c r="AT802" s="1"/>
      <c r="AU802" s="1"/>
      <c r="AV802" s="1"/>
      <c r="AW802" s="1"/>
      <c r="AX802" s="1"/>
      <c r="AY802" s="1"/>
    </row>
    <row r="803" spans="1:51" ht="15.75" customHeight="1" x14ac:dyDescent="0.2">
      <c r="A803" s="245"/>
      <c r="B803" s="244"/>
      <c r="C803" s="245"/>
      <c r="D803" s="1"/>
      <c r="E803" s="290"/>
      <c r="F803" s="1"/>
      <c r="L803" s="246"/>
      <c r="W803" s="1"/>
      <c r="Y803" s="1"/>
      <c r="AA803" s="1"/>
      <c r="AC803" s="1"/>
      <c r="AE803" s="1"/>
      <c r="AG803" s="1"/>
      <c r="AI803" s="1"/>
      <c r="AK803" s="1"/>
      <c r="AO803" s="1"/>
      <c r="AP803" s="1"/>
      <c r="AQ803" s="1"/>
      <c r="AR803" s="1"/>
      <c r="AT803" s="1"/>
      <c r="AU803" s="1"/>
      <c r="AV803" s="1"/>
      <c r="AW803" s="1"/>
      <c r="AX803" s="1"/>
      <c r="AY803" s="1"/>
    </row>
    <row r="804" spans="1:51" ht="15.75" customHeight="1" x14ac:dyDescent="0.2">
      <c r="A804" s="245"/>
      <c r="B804" s="244"/>
      <c r="C804" s="245"/>
      <c r="D804" s="1"/>
      <c r="E804" s="290"/>
      <c r="F804" s="1"/>
      <c r="L804" s="246"/>
      <c r="W804" s="1"/>
      <c r="Y804" s="1"/>
      <c r="AA804" s="1"/>
      <c r="AC804" s="1"/>
      <c r="AE804" s="1"/>
      <c r="AG804" s="1"/>
      <c r="AI804" s="1"/>
      <c r="AK804" s="1"/>
      <c r="AO804" s="1"/>
      <c r="AP804" s="1"/>
      <c r="AQ804" s="1"/>
      <c r="AR804" s="1"/>
      <c r="AT804" s="1"/>
      <c r="AU804" s="1"/>
      <c r="AV804" s="1"/>
      <c r="AW804" s="1"/>
      <c r="AX804" s="1"/>
      <c r="AY804" s="1"/>
    </row>
    <row r="805" spans="1:51" ht="15.75" customHeight="1" x14ac:dyDescent="0.2">
      <c r="A805" s="245"/>
      <c r="B805" s="244"/>
      <c r="C805" s="245"/>
      <c r="D805" s="1"/>
      <c r="E805" s="290"/>
      <c r="F805" s="1"/>
      <c r="L805" s="246"/>
      <c r="W805" s="1"/>
      <c r="Y805" s="1"/>
      <c r="AA805" s="1"/>
      <c r="AC805" s="1"/>
      <c r="AE805" s="1"/>
      <c r="AG805" s="1"/>
      <c r="AI805" s="1"/>
      <c r="AK805" s="1"/>
      <c r="AO805" s="1"/>
      <c r="AP805" s="1"/>
      <c r="AQ805" s="1"/>
      <c r="AR805" s="1"/>
      <c r="AT805" s="1"/>
      <c r="AU805" s="1"/>
      <c r="AV805" s="1"/>
      <c r="AW805" s="1"/>
      <c r="AX805" s="1"/>
      <c r="AY805" s="1"/>
    </row>
    <row r="806" spans="1:51" ht="15.75" customHeight="1" x14ac:dyDescent="0.2">
      <c r="A806" s="245"/>
      <c r="B806" s="244"/>
      <c r="C806" s="245"/>
      <c r="D806" s="1"/>
      <c r="E806" s="290"/>
      <c r="F806" s="1"/>
      <c r="L806" s="246"/>
      <c r="W806" s="1"/>
      <c r="Y806" s="1"/>
      <c r="AA806" s="1"/>
      <c r="AC806" s="1"/>
      <c r="AE806" s="1"/>
      <c r="AG806" s="1"/>
      <c r="AI806" s="1"/>
      <c r="AK806" s="1"/>
      <c r="AO806" s="1"/>
      <c r="AP806" s="1"/>
      <c r="AQ806" s="1"/>
      <c r="AR806" s="1"/>
      <c r="AT806" s="1"/>
      <c r="AU806" s="1"/>
      <c r="AV806" s="1"/>
      <c r="AW806" s="1"/>
      <c r="AX806" s="1"/>
      <c r="AY806" s="1"/>
    </row>
    <row r="807" spans="1:51" ht="15.75" customHeight="1" x14ac:dyDescent="0.2">
      <c r="A807" s="245"/>
      <c r="B807" s="244"/>
      <c r="C807" s="245"/>
      <c r="D807" s="1"/>
      <c r="E807" s="290"/>
      <c r="F807" s="1"/>
      <c r="L807" s="246"/>
      <c r="W807" s="1"/>
      <c r="Y807" s="1"/>
      <c r="AA807" s="1"/>
      <c r="AC807" s="1"/>
      <c r="AE807" s="1"/>
      <c r="AG807" s="1"/>
      <c r="AI807" s="1"/>
      <c r="AK807" s="1"/>
      <c r="AO807" s="1"/>
      <c r="AP807" s="1"/>
      <c r="AQ807" s="1"/>
      <c r="AR807" s="1"/>
      <c r="AT807" s="1"/>
      <c r="AU807" s="1"/>
      <c r="AV807" s="1"/>
      <c r="AW807" s="1"/>
      <c r="AX807" s="1"/>
      <c r="AY807" s="1"/>
    </row>
    <row r="808" spans="1:51" ht="15.75" customHeight="1" x14ac:dyDescent="0.2">
      <c r="A808" s="245"/>
      <c r="B808" s="244"/>
      <c r="C808" s="245"/>
      <c r="D808" s="1"/>
      <c r="E808" s="290"/>
      <c r="F808" s="1"/>
      <c r="L808" s="246"/>
      <c r="W808" s="1"/>
      <c r="Y808" s="1"/>
      <c r="AA808" s="1"/>
      <c r="AC808" s="1"/>
      <c r="AE808" s="1"/>
      <c r="AG808" s="1"/>
      <c r="AI808" s="1"/>
      <c r="AK808" s="1"/>
      <c r="AO808" s="1"/>
      <c r="AP808" s="1"/>
      <c r="AQ808" s="1"/>
      <c r="AR808" s="1"/>
      <c r="AT808" s="1"/>
      <c r="AU808" s="1"/>
      <c r="AV808" s="1"/>
      <c r="AW808" s="1"/>
      <c r="AX808" s="1"/>
      <c r="AY808" s="1"/>
    </row>
    <row r="809" spans="1:51" ht="15.75" customHeight="1" x14ac:dyDescent="0.2">
      <c r="A809" s="245"/>
      <c r="B809" s="244"/>
      <c r="C809" s="245"/>
      <c r="D809" s="1"/>
      <c r="E809" s="290"/>
      <c r="F809" s="1"/>
      <c r="L809" s="246"/>
      <c r="W809" s="1"/>
      <c r="Y809" s="1"/>
      <c r="AA809" s="1"/>
      <c r="AC809" s="1"/>
      <c r="AE809" s="1"/>
      <c r="AG809" s="1"/>
      <c r="AI809" s="1"/>
      <c r="AK809" s="1"/>
      <c r="AO809" s="1"/>
      <c r="AP809" s="1"/>
      <c r="AQ809" s="1"/>
      <c r="AR809" s="1"/>
      <c r="AT809" s="1"/>
      <c r="AU809" s="1"/>
      <c r="AV809" s="1"/>
      <c r="AW809" s="1"/>
      <c r="AX809" s="1"/>
      <c r="AY809" s="1"/>
    </row>
    <row r="810" spans="1:51" ht="15.75" customHeight="1" x14ac:dyDescent="0.2">
      <c r="A810" s="245"/>
      <c r="B810" s="244"/>
      <c r="C810" s="245"/>
      <c r="D810" s="1"/>
      <c r="E810" s="290"/>
      <c r="F810" s="1"/>
      <c r="L810" s="246"/>
      <c r="W810" s="1"/>
      <c r="Y810" s="1"/>
      <c r="AA810" s="1"/>
      <c r="AC810" s="1"/>
      <c r="AE810" s="1"/>
      <c r="AG810" s="1"/>
      <c r="AI810" s="1"/>
      <c r="AK810" s="1"/>
      <c r="AO810" s="1"/>
      <c r="AP810" s="1"/>
      <c r="AQ810" s="1"/>
      <c r="AR810" s="1"/>
      <c r="AT810" s="1"/>
      <c r="AU810" s="1"/>
      <c r="AV810" s="1"/>
      <c r="AW810" s="1"/>
      <c r="AX810" s="1"/>
      <c r="AY810" s="1"/>
    </row>
    <row r="811" spans="1:51" ht="15.75" customHeight="1" x14ac:dyDescent="0.2">
      <c r="A811" s="245"/>
      <c r="B811" s="244"/>
      <c r="C811" s="245"/>
      <c r="D811" s="1"/>
      <c r="E811" s="290"/>
      <c r="F811" s="1"/>
      <c r="L811" s="246"/>
      <c r="W811" s="1"/>
      <c r="Y811" s="1"/>
      <c r="AA811" s="1"/>
      <c r="AC811" s="1"/>
      <c r="AE811" s="1"/>
      <c r="AG811" s="1"/>
      <c r="AI811" s="1"/>
      <c r="AK811" s="1"/>
      <c r="AO811" s="1"/>
      <c r="AP811" s="1"/>
      <c r="AQ811" s="1"/>
      <c r="AR811" s="1"/>
      <c r="AT811" s="1"/>
      <c r="AU811" s="1"/>
      <c r="AV811" s="1"/>
      <c r="AW811" s="1"/>
      <c r="AX811" s="1"/>
      <c r="AY811" s="1"/>
    </row>
    <row r="812" spans="1:51" ht="15.75" customHeight="1" x14ac:dyDescent="0.2">
      <c r="A812" s="245"/>
      <c r="B812" s="244"/>
      <c r="C812" s="245"/>
      <c r="D812" s="1"/>
      <c r="E812" s="290"/>
      <c r="F812" s="1"/>
      <c r="L812" s="246"/>
      <c r="W812" s="1"/>
      <c r="Y812" s="1"/>
      <c r="AA812" s="1"/>
      <c r="AC812" s="1"/>
      <c r="AE812" s="1"/>
      <c r="AG812" s="1"/>
      <c r="AI812" s="1"/>
      <c r="AK812" s="1"/>
      <c r="AO812" s="1"/>
      <c r="AP812" s="1"/>
      <c r="AQ812" s="1"/>
      <c r="AR812" s="1"/>
      <c r="AT812" s="1"/>
      <c r="AU812" s="1"/>
      <c r="AV812" s="1"/>
      <c r="AW812" s="1"/>
      <c r="AX812" s="1"/>
      <c r="AY812" s="1"/>
    </row>
    <row r="813" spans="1:51" ht="15.75" customHeight="1" x14ac:dyDescent="0.2">
      <c r="A813" s="245"/>
      <c r="B813" s="244"/>
      <c r="C813" s="245"/>
      <c r="D813" s="1"/>
      <c r="E813" s="290"/>
      <c r="F813" s="1"/>
      <c r="L813" s="246"/>
      <c r="W813" s="1"/>
      <c r="Y813" s="1"/>
      <c r="AA813" s="1"/>
      <c r="AC813" s="1"/>
      <c r="AE813" s="1"/>
      <c r="AG813" s="1"/>
      <c r="AI813" s="1"/>
      <c r="AK813" s="1"/>
      <c r="AO813" s="1"/>
      <c r="AP813" s="1"/>
      <c r="AQ813" s="1"/>
      <c r="AR813" s="1"/>
      <c r="AT813" s="1"/>
      <c r="AU813" s="1"/>
      <c r="AV813" s="1"/>
      <c r="AW813" s="1"/>
      <c r="AX813" s="1"/>
      <c r="AY813" s="1"/>
    </row>
    <row r="814" spans="1:51" ht="15.75" customHeight="1" x14ac:dyDescent="0.2">
      <c r="A814" s="245"/>
      <c r="B814" s="244"/>
      <c r="C814" s="245"/>
      <c r="D814" s="1"/>
      <c r="E814" s="290"/>
      <c r="F814" s="1"/>
      <c r="L814" s="246"/>
      <c r="W814" s="1"/>
      <c r="Y814" s="1"/>
      <c r="AA814" s="1"/>
      <c r="AC814" s="1"/>
      <c r="AE814" s="1"/>
      <c r="AG814" s="1"/>
      <c r="AI814" s="1"/>
      <c r="AK814" s="1"/>
      <c r="AO814" s="1"/>
      <c r="AP814" s="1"/>
      <c r="AQ814" s="1"/>
      <c r="AR814" s="1"/>
      <c r="AT814" s="1"/>
      <c r="AU814" s="1"/>
      <c r="AV814" s="1"/>
      <c r="AW814" s="1"/>
      <c r="AX814" s="1"/>
      <c r="AY814" s="1"/>
    </row>
    <row r="815" spans="1:51" ht="15.75" customHeight="1" x14ac:dyDescent="0.2">
      <c r="A815" s="245"/>
      <c r="B815" s="244"/>
      <c r="C815" s="245"/>
      <c r="D815" s="1"/>
      <c r="E815" s="290"/>
      <c r="F815" s="1"/>
      <c r="L815" s="246"/>
      <c r="W815" s="1"/>
      <c r="Y815" s="1"/>
      <c r="AA815" s="1"/>
      <c r="AC815" s="1"/>
      <c r="AE815" s="1"/>
      <c r="AG815" s="1"/>
      <c r="AI815" s="1"/>
      <c r="AK815" s="1"/>
      <c r="AO815" s="1"/>
      <c r="AP815" s="1"/>
      <c r="AQ815" s="1"/>
      <c r="AR815" s="1"/>
      <c r="AT815" s="1"/>
      <c r="AU815" s="1"/>
      <c r="AV815" s="1"/>
      <c r="AW815" s="1"/>
      <c r="AX815" s="1"/>
      <c r="AY815" s="1"/>
    </row>
    <row r="816" spans="1:51" ht="15.75" customHeight="1" x14ac:dyDescent="0.2">
      <c r="A816" s="245"/>
      <c r="B816" s="244"/>
      <c r="C816" s="245"/>
      <c r="D816" s="1"/>
      <c r="E816" s="290"/>
      <c r="F816" s="1"/>
      <c r="L816" s="246"/>
      <c r="W816" s="1"/>
      <c r="Y816" s="1"/>
      <c r="AA816" s="1"/>
      <c r="AC816" s="1"/>
      <c r="AE816" s="1"/>
      <c r="AG816" s="1"/>
      <c r="AI816" s="1"/>
      <c r="AK816" s="1"/>
      <c r="AO816" s="1"/>
      <c r="AP816" s="1"/>
      <c r="AQ816" s="1"/>
      <c r="AR816" s="1"/>
      <c r="AT816" s="1"/>
      <c r="AU816" s="1"/>
      <c r="AV816" s="1"/>
      <c r="AW816" s="1"/>
      <c r="AX816" s="1"/>
      <c r="AY816" s="1"/>
    </row>
    <row r="817" spans="1:51" ht="15.75" customHeight="1" x14ac:dyDescent="0.2">
      <c r="A817" s="245"/>
      <c r="B817" s="244"/>
      <c r="C817" s="245"/>
      <c r="D817" s="1"/>
      <c r="E817" s="290"/>
      <c r="F817" s="1"/>
      <c r="L817" s="246"/>
      <c r="W817" s="1"/>
      <c r="Y817" s="1"/>
      <c r="AA817" s="1"/>
      <c r="AC817" s="1"/>
      <c r="AE817" s="1"/>
      <c r="AG817" s="1"/>
      <c r="AI817" s="1"/>
      <c r="AK817" s="1"/>
      <c r="AO817" s="1"/>
      <c r="AP817" s="1"/>
      <c r="AQ817" s="1"/>
      <c r="AR817" s="1"/>
      <c r="AT817" s="1"/>
      <c r="AU817" s="1"/>
      <c r="AV817" s="1"/>
      <c r="AW817" s="1"/>
      <c r="AX817" s="1"/>
      <c r="AY817" s="1"/>
    </row>
    <row r="818" spans="1:51" ht="15.75" customHeight="1" x14ac:dyDescent="0.2">
      <c r="A818" s="245"/>
      <c r="B818" s="244"/>
      <c r="C818" s="245"/>
      <c r="D818" s="1"/>
      <c r="E818" s="290"/>
      <c r="F818" s="1"/>
      <c r="L818" s="246"/>
      <c r="W818" s="1"/>
      <c r="Y818" s="1"/>
      <c r="AA818" s="1"/>
      <c r="AC818" s="1"/>
      <c r="AE818" s="1"/>
      <c r="AG818" s="1"/>
      <c r="AI818" s="1"/>
      <c r="AK818" s="1"/>
      <c r="AO818" s="1"/>
      <c r="AP818" s="1"/>
      <c r="AQ818" s="1"/>
      <c r="AR818" s="1"/>
      <c r="AT818" s="1"/>
      <c r="AU818" s="1"/>
      <c r="AV818" s="1"/>
      <c r="AW818" s="1"/>
      <c r="AX818" s="1"/>
      <c r="AY818" s="1"/>
    </row>
    <row r="819" spans="1:51" ht="15.75" customHeight="1" x14ac:dyDescent="0.2">
      <c r="A819" s="245"/>
      <c r="B819" s="244"/>
      <c r="C819" s="245"/>
      <c r="D819" s="1"/>
      <c r="E819" s="290"/>
      <c r="F819" s="1"/>
      <c r="L819" s="246"/>
      <c r="W819" s="1"/>
      <c r="Y819" s="1"/>
      <c r="AA819" s="1"/>
      <c r="AC819" s="1"/>
      <c r="AE819" s="1"/>
      <c r="AG819" s="1"/>
      <c r="AI819" s="1"/>
      <c r="AK819" s="1"/>
      <c r="AO819" s="1"/>
      <c r="AP819" s="1"/>
      <c r="AQ819" s="1"/>
      <c r="AR819" s="1"/>
      <c r="AT819" s="1"/>
      <c r="AU819" s="1"/>
      <c r="AV819" s="1"/>
      <c r="AW819" s="1"/>
      <c r="AX819" s="1"/>
      <c r="AY819" s="1"/>
    </row>
    <row r="820" spans="1:51" ht="15.75" customHeight="1" x14ac:dyDescent="0.2">
      <c r="A820" s="245"/>
      <c r="B820" s="244"/>
      <c r="C820" s="245"/>
      <c r="D820" s="1"/>
      <c r="E820" s="290"/>
      <c r="F820" s="1"/>
      <c r="L820" s="246"/>
      <c r="W820" s="1"/>
      <c r="Y820" s="1"/>
      <c r="AA820" s="1"/>
      <c r="AC820" s="1"/>
      <c r="AE820" s="1"/>
      <c r="AG820" s="1"/>
      <c r="AI820" s="1"/>
      <c r="AK820" s="1"/>
      <c r="AO820" s="1"/>
      <c r="AP820" s="1"/>
      <c r="AQ820" s="1"/>
      <c r="AR820" s="1"/>
      <c r="AT820" s="1"/>
      <c r="AU820" s="1"/>
      <c r="AV820" s="1"/>
      <c r="AW820" s="1"/>
      <c r="AX820" s="1"/>
      <c r="AY820" s="1"/>
    </row>
    <row r="821" spans="1:51" ht="15.75" customHeight="1" x14ac:dyDescent="0.2">
      <c r="A821" s="245"/>
      <c r="B821" s="244"/>
      <c r="C821" s="245"/>
      <c r="D821" s="1"/>
      <c r="E821" s="290"/>
      <c r="F821" s="1"/>
      <c r="L821" s="246"/>
      <c r="W821" s="1"/>
      <c r="Y821" s="1"/>
      <c r="AA821" s="1"/>
      <c r="AC821" s="1"/>
      <c r="AE821" s="1"/>
      <c r="AG821" s="1"/>
      <c r="AI821" s="1"/>
      <c r="AK821" s="1"/>
      <c r="AO821" s="1"/>
      <c r="AP821" s="1"/>
      <c r="AQ821" s="1"/>
      <c r="AR821" s="1"/>
      <c r="AT821" s="1"/>
      <c r="AU821" s="1"/>
      <c r="AV821" s="1"/>
      <c r="AW821" s="1"/>
      <c r="AX821" s="1"/>
      <c r="AY821" s="1"/>
    </row>
    <row r="822" spans="1:51" ht="15.75" customHeight="1" x14ac:dyDescent="0.2">
      <c r="A822" s="245"/>
      <c r="B822" s="244"/>
      <c r="C822" s="245"/>
      <c r="D822" s="1"/>
      <c r="E822" s="290"/>
      <c r="F822" s="1"/>
      <c r="L822" s="246"/>
      <c r="W822" s="1"/>
      <c r="Y822" s="1"/>
      <c r="AA822" s="1"/>
      <c r="AC822" s="1"/>
      <c r="AE822" s="1"/>
      <c r="AG822" s="1"/>
      <c r="AI822" s="1"/>
      <c r="AK822" s="1"/>
      <c r="AO822" s="1"/>
      <c r="AP822" s="1"/>
      <c r="AQ822" s="1"/>
      <c r="AR822" s="1"/>
      <c r="AT822" s="1"/>
      <c r="AU822" s="1"/>
      <c r="AV822" s="1"/>
      <c r="AW822" s="1"/>
      <c r="AX822" s="1"/>
      <c r="AY822" s="1"/>
    </row>
    <row r="823" spans="1:51" ht="15.75" customHeight="1" x14ac:dyDescent="0.2">
      <c r="A823" s="245"/>
      <c r="B823" s="244"/>
      <c r="C823" s="245"/>
      <c r="D823" s="1"/>
      <c r="E823" s="290"/>
      <c r="F823" s="1"/>
      <c r="L823" s="246"/>
      <c r="W823" s="1"/>
      <c r="Y823" s="1"/>
      <c r="AA823" s="1"/>
      <c r="AC823" s="1"/>
      <c r="AE823" s="1"/>
      <c r="AG823" s="1"/>
      <c r="AI823" s="1"/>
      <c r="AK823" s="1"/>
      <c r="AO823" s="1"/>
      <c r="AP823" s="1"/>
      <c r="AQ823" s="1"/>
      <c r="AR823" s="1"/>
      <c r="AT823" s="1"/>
      <c r="AU823" s="1"/>
      <c r="AV823" s="1"/>
      <c r="AW823" s="1"/>
      <c r="AX823" s="1"/>
      <c r="AY823" s="1"/>
    </row>
    <row r="824" spans="1:51" ht="15.75" customHeight="1" x14ac:dyDescent="0.2">
      <c r="A824" s="245"/>
      <c r="B824" s="244"/>
      <c r="C824" s="245"/>
      <c r="D824" s="1"/>
      <c r="E824" s="290"/>
      <c r="F824" s="1"/>
      <c r="L824" s="246"/>
      <c r="W824" s="1"/>
      <c r="Y824" s="1"/>
      <c r="AA824" s="1"/>
      <c r="AC824" s="1"/>
      <c r="AE824" s="1"/>
      <c r="AG824" s="1"/>
      <c r="AI824" s="1"/>
      <c r="AK824" s="1"/>
      <c r="AO824" s="1"/>
      <c r="AP824" s="1"/>
      <c r="AQ824" s="1"/>
      <c r="AR824" s="1"/>
      <c r="AT824" s="1"/>
      <c r="AU824" s="1"/>
      <c r="AV824" s="1"/>
      <c r="AW824" s="1"/>
      <c r="AX824" s="1"/>
      <c r="AY824" s="1"/>
    </row>
    <row r="825" spans="1:51" ht="15.75" customHeight="1" x14ac:dyDescent="0.2">
      <c r="A825" s="245"/>
      <c r="B825" s="244"/>
      <c r="C825" s="245"/>
      <c r="D825" s="1"/>
      <c r="E825" s="290"/>
      <c r="F825" s="1"/>
      <c r="L825" s="246"/>
      <c r="W825" s="1"/>
      <c r="Y825" s="1"/>
      <c r="AA825" s="1"/>
      <c r="AC825" s="1"/>
      <c r="AE825" s="1"/>
      <c r="AG825" s="1"/>
      <c r="AI825" s="1"/>
      <c r="AK825" s="1"/>
      <c r="AO825" s="1"/>
      <c r="AP825" s="1"/>
      <c r="AQ825" s="1"/>
      <c r="AR825" s="1"/>
      <c r="AT825" s="1"/>
      <c r="AU825" s="1"/>
      <c r="AV825" s="1"/>
      <c r="AW825" s="1"/>
      <c r="AX825" s="1"/>
      <c r="AY825" s="1"/>
    </row>
    <row r="826" spans="1:51" ht="15.75" customHeight="1" x14ac:dyDescent="0.2">
      <c r="A826" s="245"/>
      <c r="B826" s="244"/>
      <c r="C826" s="245"/>
      <c r="D826" s="1"/>
      <c r="E826" s="290"/>
      <c r="F826" s="1"/>
      <c r="L826" s="246"/>
      <c r="W826" s="1"/>
      <c r="Y826" s="1"/>
      <c r="AA826" s="1"/>
      <c r="AC826" s="1"/>
      <c r="AE826" s="1"/>
      <c r="AG826" s="1"/>
      <c r="AI826" s="1"/>
      <c r="AK826" s="1"/>
      <c r="AO826" s="1"/>
      <c r="AP826" s="1"/>
      <c r="AQ826" s="1"/>
      <c r="AR826" s="1"/>
      <c r="AT826" s="1"/>
      <c r="AU826" s="1"/>
      <c r="AV826" s="1"/>
      <c r="AW826" s="1"/>
      <c r="AX826" s="1"/>
      <c r="AY826" s="1"/>
    </row>
    <row r="827" spans="1:51" ht="15.75" customHeight="1" x14ac:dyDescent="0.2">
      <c r="A827" s="245"/>
      <c r="B827" s="244"/>
      <c r="C827" s="245"/>
      <c r="D827" s="1"/>
      <c r="E827" s="290"/>
      <c r="F827" s="1"/>
      <c r="L827" s="246"/>
      <c r="W827" s="1"/>
      <c r="Y827" s="1"/>
      <c r="AA827" s="1"/>
      <c r="AC827" s="1"/>
      <c r="AE827" s="1"/>
      <c r="AG827" s="1"/>
      <c r="AI827" s="1"/>
      <c r="AK827" s="1"/>
      <c r="AO827" s="1"/>
      <c r="AP827" s="1"/>
      <c r="AQ827" s="1"/>
      <c r="AR827" s="1"/>
      <c r="AT827" s="1"/>
      <c r="AU827" s="1"/>
      <c r="AV827" s="1"/>
      <c r="AW827" s="1"/>
      <c r="AX827" s="1"/>
      <c r="AY827" s="1"/>
    </row>
    <row r="828" spans="1:51" ht="15.75" customHeight="1" x14ac:dyDescent="0.2">
      <c r="A828" s="245"/>
      <c r="B828" s="244"/>
      <c r="C828" s="245"/>
      <c r="D828" s="1"/>
      <c r="E828" s="290"/>
      <c r="F828" s="1"/>
      <c r="L828" s="246"/>
      <c r="W828" s="1"/>
      <c r="Y828" s="1"/>
      <c r="AA828" s="1"/>
      <c r="AC828" s="1"/>
      <c r="AE828" s="1"/>
      <c r="AG828" s="1"/>
      <c r="AI828" s="1"/>
      <c r="AK828" s="1"/>
      <c r="AO828" s="1"/>
      <c r="AP828" s="1"/>
      <c r="AQ828" s="1"/>
      <c r="AR828" s="1"/>
      <c r="AT828" s="1"/>
      <c r="AU828" s="1"/>
      <c r="AV828" s="1"/>
      <c r="AW828" s="1"/>
      <c r="AX828" s="1"/>
      <c r="AY828" s="1"/>
    </row>
    <row r="829" spans="1:51" ht="15.75" customHeight="1" x14ac:dyDescent="0.2">
      <c r="A829" s="245"/>
      <c r="B829" s="244"/>
      <c r="C829" s="245"/>
      <c r="D829" s="1"/>
      <c r="E829" s="290"/>
      <c r="F829" s="1"/>
      <c r="L829" s="246"/>
      <c r="W829" s="1"/>
      <c r="Y829" s="1"/>
      <c r="AA829" s="1"/>
      <c r="AC829" s="1"/>
      <c r="AE829" s="1"/>
      <c r="AG829" s="1"/>
      <c r="AI829" s="1"/>
      <c r="AK829" s="1"/>
      <c r="AO829" s="1"/>
      <c r="AP829" s="1"/>
      <c r="AQ829" s="1"/>
      <c r="AR829" s="1"/>
      <c r="AT829" s="1"/>
      <c r="AU829" s="1"/>
      <c r="AV829" s="1"/>
      <c r="AW829" s="1"/>
      <c r="AX829" s="1"/>
      <c r="AY829" s="1"/>
    </row>
    <row r="830" spans="1:51" ht="15.75" customHeight="1" x14ac:dyDescent="0.2">
      <c r="A830" s="245"/>
      <c r="B830" s="244"/>
      <c r="C830" s="245"/>
      <c r="D830" s="1"/>
      <c r="E830" s="290"/>
      <c r="F830" s="1"/>
      <c r="L830" s="246"/>
      <c r="W830" s="1"/>
      <c r="Y830" s="1"/>
      <c r="AA830" s="1"/>
      <c r="AC830" s="1"/>
      <c r="AE830" s="1"/>
      <c r="AG830" s="1"/>
      <c r="AI830" s="1"/>
      <c r="AK830" s="1"/>
      <c r="AO830" s="1"/>
      <c r="AP830" s="1"/>
      <c r="AQ830" s="1"/>
      <c r="AR830" s="1"/>
      <c r="AT830" s="1"/>
      <c r="AU830" s="1"/>
      <c r="AV830" s="1"/>
      <c r="AW830" s="1"/>
      <c r="AX830" s="1"/>
      <c r="AY830" s="1"/>
    </row>
    <row r="831" spans="1:51" ht="15.75" customHeight="1" x14ac:dyDescent="0.2">
      <c r="A831" s="245"/>
      <c r="B831" s="244"/>
      <c r="C831" s="245"/>
      <c r="D831" s="1"/>
      <c r="E831" s="290"/>
      <c r="F831" s="1"/>
      <c r="L831" s="246"/>
      <c r="W831" s="1"/>
      <c r="Y831" s="1"/>
      <c r="AA831" s="1"/>
      <c r="AC831" s="1"/>
      <c r="AE831" s="1"/>
      <c r="AG831" s="1"/>
      <c r="AI831" s="1"/>
      <c r="AK831" s="1"/>
      <c r="AO831" s="1"/>
      <c r="AP831" s="1"/>
      <c r="AQ831" s="1"/>
      <c r="AR831" s="1"/>
      <c r="AT831" s="1"/>
      <c r="AU831" s="1"/>
      <c r="AV831" s="1"/>
      <c r="AW831" s="1"/>
      <c r="AX831" s="1"/>
      <c r="AY831" s="1"/>
    </row>
    <row r="832" spans="1:51" ht="15.75" customHeight="1" x14ac:dyDescent="0.2">
      <c r="A832" s="245"/>
      <c r="B832" s="244"/>
      <c r="C832" s="245"/>
      <c r="D832" s="1"/>
      <c r="E832" s="290"/>
      <c r="F832" s="1"/>
      <c r="L832" s="246"/>
      <c r="W832" s="1"/>
      <c r="Y832" s="1"/>
      <c r="AA832" s="1"/>
      <c r="AC832" s="1"/>
      <c r="AE832" s="1"/>
      <c r="AG832" s="1"/>
      <c r="AI832" s="1"/>
      <c r="AK832" s="1"/>
      <c r="AO832" s="1"/>
      <c r="AP832" s="1"/>
      <c r="AQ832" s="1"/>
      <c r="AR832" s="1"/>
      <c r="AT832" s="1"/>
      <c r="AU832" s="1"/>
      <c r="AV832" s="1"/>
      <c r="AW832" s="1"/>
      <c r="AX832" s="1"/>
      <c r="AY832" s="1"/>
    </row>
    <row r="833" spans="1:51" ht="15.75" customHeight="1" x14ac:dyDescent="0.2">
      <c r="A833" s="245"/>
      <c r="B833" s="244"/>
      <c r="C833" s="245"/>
      <c r="D833" s="1"/>
      <c r="E833" s="290"/>
      <c r="F833" s="1"/>
      <c r="L833" s="246"/>
      <c r="W833" s="1"/>
      <c r="Y833" s="1"/>
      <c r="AA833" s="1"/>
      <c r="AC833" s="1"/>
      <c r="AE833" s="1"/>
      <c r="AG833" s="1"/>
      <c r="AI833" s="1"/>
      <c r="AK833" s="1"/>
      <c r="AO833" s="1"/>
      <c r="AP833" s="1"/>
      <c r="AQ833" s="1"/>
      <c r="AR833" s="1"/>
      <c r="AT833" s="1"/>
      <c r="AU833" s="1"/>
      <c r="AV833" s="1"/>
      <c r="AW833" s="1"/>
      <c r="AX833" s="1"/>
      <c r="AY833" s="1"/>
    </row>
    <row r="834" spans="1:51" ht="15.75" customHeight="1" x14ac:dyDescent="0.2">
      <c r="A834" s="245"/>
      <c r="B834" s="244"/>
      <c r="C834" s="245"/>
      <c r="D834" s="1"/>
      <c r="E834" s="290"/>
      <c r="F834" s="1"/>
      <c r="L834" s="246"/>
      <c r="W834" s="1"/>
      <c r="Y834" s="1"/>
      <c r="AA834" s="1"/>
      <c r="AC834" s="1"/>
      <c r="AE834" s="1"/>
      <c r="AG834" s="1"/>
      <c r="AI834" s="1"/>
      <c r="AK834" s="1"/>
      <c r="AO834" s="1"/>
      <c r="AP834" s="1"/>
      <c r="AQ834" s="1"/>
      <c r="AR834" s="1"/>
      <c r="AT834" s="1"/>
      <c r="AU834" s="1"/>
      <c r="AV834" s="1"/>
      <c r="AW834" s="1"/>
      <c r="AX834" s="1"/>
      <c r="AY834" s="1"/>
    </row>
    <row r="835" spans="1:51" ht="15.75" customHeight="1" x14ac:dyDescent="0.2">
      <c r="A835" s="245"/>
      <c r="B835" s="244"/>
      <c r="C835" s="245"/>
      <c r="D835" s="1"/>
      <c r="E835" s="290"/>
      <c r="F835" s="1"/>
      <c r="L835" s="246"/>
      <c r="W835" s="1"/>
      <c r="Y835" s="1"/>
      <c r="AA835" s="1"/>
      <c r="AC835" s="1"/>
      <c r="AE835" s="1"/>
      <c r="AG835" s="1"/>
      <c r="AI835" s="1"/>
      <c r="AK835" s="1"/>
      <c r="AO835" s="1"/>
      <c r="AP835" s="1"/>
      <c r="AQ835" s="1"/>
      <c r="AR835" s="1"/>
      <c r="AT835" s="1"/>
      <c r="AU835" s="1"/>
      <c r="AV835" s="1"/>
      <c r="AW835" s="1"/>
      <c r="AX835" s="1"/>
      <c r="AY835" s="1"/>
    </row>
    <row r="836" spans="1:51" ht="15.75" customHeight="1" x14ac:dyDescent="0.2">
      <c r="A836" s="245"/>
      <c r="B836" s="244"/>
      <c r="C836" s="245"/>
      <c r="D836" s="1"/>
      <c r="E836" s="290"/>
      <c r="F836" s="1"/>
      <c r="L836" s="246"/>
      <c r="W836" s="1"/>
      <c r="Y836" s="1"/>
      <c r="AA836" s="1"/>
      <c r="AC836" s="1"/>
      <c r="AE836" s="1"/>
      <c r="AG836" s="1"/>
      <c r="AI836" s="1"/>
      <c r="AK836" s="1"/>
      <c r="AO836" s="1"/>
      <c r="AP836" s="1"/>
      <c r="AQ836" s="1"/>
      <c r="AR836" s="1"/>
      <c r="AT836" s="1"/>
      <c r="AU836" s="1"/>
      <c r="AV836" s="1"/>
      <c r="AW836" s="1"/>
      <c r="AX836" s="1"/>
      <c r="AY836" s="1"/>
    </row>
    <row r="837" spans="1:51" ht="15.75" customHeight="1" x14ac:dyDescent="0.2">
      <c r="A837" s="245"/>
      <c r="B837" s="244"/>
      <c r="C837" s="245"/>
      <c r="D837" s="1"/>
      <c r="E837" s="290"/>
      <c r="F837" s="1"/>
      <c r="L837" s="246"/>
      <c r="W837" s="1"/>
      <c r="Y837" s="1"/>
      <c r="AA837" s="1"/>
      <c r="AC837" s="1"/>
      <c r="AE837" s="1"/>
      <c r="AG837" s="1"/>
      <c r="AI837" s="1"/>
      <c r="AK837" s="1"/>
      <c r="AO837" s="1"/>
      <c r="AP837" s="1"/>
      <c r="AQ837" s="1"/>
      <c r="AR837" s="1"/>
      <c r="AT837" s="1"/>
      <c r="AU837" s="1"/>
      <c r="AV837" s="1"/>
      <c r="AW837" s="1"/>
      <c r="AX837" s="1"/>
      <c r="AY837" s="1"/>
    </row>
    <row r="838" spans="1:51" ht="15.75" customHeight="1" x14ac:dyDescent="0.2">
      <c r="A838" s="245"/>
      <c r="B838" s="244"/>
      <c r="C838" s="245"/>
      <c r="D838" s="1"/>
      <c r="E838" s="290"/>
      <c r="F838" s="1"/>
      <c r="L838" s="246"/>
      <c r="W838" s="1"/>
      <c r="Y838" s="1"/>
      <c r="AA838" s="1"/>
      <c r="AC838" s="1"/>
      <c r="AE838" s="1"/>
      <c r="AG838" s="1"/>
      <c r="AI838" s="1"/>
      <c r="AK838" s="1"/>
      <c r="AO838" s="1"/>
      <c r="AP838" s="1"/>
      <c r="AQ838" s="1"/>
      <c r="AR838" s="1"/>
      <c r="AT838" s="1"/>
      <c r="AU838" s="1"/>
      <c r="AV838" s="1"/>
      <c r="AW838" s="1"/>
      <c r="AX838" s="1"/>
      <c r="AY838" s="1"/>
    </row>
    <row r="839" spans="1:51" ht="15.75" customHeight="1" x14ac:dyDescent="0.2">
      <c r="A839" s="245"/>
      <c r="B839" s="244"/>
      <c r="C839" s="245"/>
      <c r="D839" s="1"/>
      <c r="E839" s="290"/>
      <c r="F839" s="1"/>
      <c r="L839" s="246"/>
      <c r="W839" s="1"/>
      <c r="Y839" s="1"/>
      <c r="AA839" s="1"/>
      <c r="AC839" s="1"/>
      <c r="AE839" s="1"/>
      <c r="AG839" s="1"/>
      <c r="AI839" s="1"/>
      <c r="AK839" s="1"/>
      <c r="AO839" s="1"/>
      <c r="AP839" s="1"/>
      <c r="AQ839" s="1"/>
      <c r="AR839" s="1"/>
      <c r="AT839" s="1"/>
      <c r="AU839" s="1"/>
      <c r="AV839" s="1"/>
      <c r="AW839" s="1"/>
      <c r="AX839" s="1"/>
      <c r="AY839" s="1"/>
    </row>
    <row r="840" spans="1:51" ht="15.75" customHeight="1" x14ac:dyDescent="0.2">
      <c r="A840" s="245"/>
      <c r="B840" s="244"/>
      <c r="C840" s="245"/>
      <c r="D840" s="1"/>
      <c r="E840" s="290"/>
      <c r="F840" s="1"/>
      <c r="L840" s="246"/>
      <c r="W840" s="1"/>
      <c r="Y840" s="1"/>
      <c r="AA840" s="1"/>
      <c r="AC840" s="1"/>
      <c r="AE840" s="1"/>
      <c r="AG840" s="1"/>
      <c r="AI840" s="1"/>
      <c r="AK840" s="1"/>
      <c r="AO840" s="1"/>
      <c r="AP840" s="1"/>
      <c r="AQ840" s="1"/>
      <c r="AR840" s="1"/>
      <c r="AT840" s="1"/>
      <c r="AU840" s="1"/>
      <c r="AV840" s="1"/>
      <c r="AW840" s="1"/>
      <c r="AX840" s="1"/>
      <c r="AY840" s="1"/>
    </row>
    <row r="841" spans="1:51" ht="15.75" customHeight="1" x14ac:dyDescent="0.2">
      <c r="A841" s="245"/>
      <c r="B841" s="244"/>
      <c r="C841" s="245"/>
      <c r="D841" s="1"/>
      <c r="E841" s="290"/>
      <c r="F841" s="1"/>
      <c r="L841" s="246"/>
      <c r="W841" s="1"/>
      <c r="Y841" s="1"/>
      <c r="AA841" s="1"/>
      <c r="AC841" s="1"/>
      <c r="AE841" s="1"/>
      <c r="AG841" s="1"/>
      <c r="AI841" s="1"/>
      <c r="AK841" s="1"/>
      <c r="AO841" s="1"/>
      <c r="AP841" s="1"/>
      <c r="AQ841" s="1"/>
      <c r="AR841" s="1"/>
      <c r="AT841" s="1"/>
      <c r="AU841" s="1"/>
      <c r="AV841" s="1"/>
      <c r="AW841" s="1"/>
      <c r="AX841" s="1"/>
      <c r="AY841" s="1"/>
    </row>
    <row r="842" spans="1:51" ht="15.75" customHeight="1" x14ac:dyDescent="0.2">
      <c r="A842" s="245"/>
      <c r="B842" s="244"/>
      <c r="C842" s="245"/>
      <c r="D842" s="1"/>
      <c r="E842" s="290"/>
      <c r="F842" s="1"/>
      <c r="L842" s="246"/>
      <c r="W842" s="1"/>
      <c r="Y842" s="1"/>
      <c r="AA842" s="1"/>
      <c r="AC842" s="1"/>
      <c r="AE842" s="1"/>
      <c r="AG842" s="1"/>
      <c r="AI842" s="1"/>
      <c r="AK842" s="1"/>
      <c r="AO842" s="1"/>
      <c r="AP842" s="1"/>
      <c r="AQ842" s="1"/>
      <c r="AR842" s="1"/>
      <c r="AT842" s="1"/>
      <c r="AU842" s="1"/>
      <c r="AV842" s="1"/>
      <c r="AW842" s="1"/>
      <c r="AX842" s="1"/>
      <c r="AY842" s="1"/>
    </row>
    <row r="843" spans="1:51" ht="15.75" customHeight="1" x14ac:dyDescent="0.2">
      <c r="A843" s="245"/>
      <c r="B843" s="244"/>
      <c r="C843" s="245"/>
      <c r="D843" s="1"/>
      <c r="E843" s="290"/>
      <c r="F843" s="1"/>
      <c r="L843" s="246"/>
      <c r="W843" s="1"/>
      <c r="Y843" s="1"/>
      <c r="AA843" s="1"/>
      <c r="AC843" s="1"/>
      <c r="AE843" s="1"/>
      <c r="AG843" s="1"/>
      <c r="AI843" s="1"/>
      <c r="AK843" s="1"/>
      <c r="AO843" s="1"/>
      <c r="AP843" s="1"/>
      <c r="AQ843" s="1"/>
      <c r="AR843" s="1"/>
      <c r="AT843" s="1"/>
      <c r="AU843" s="1"/>
      <c r="AV843" s="1"/>
      <c r="AW843" s="1"/>
      <c r="AX843" s="1"/>
      <c r="AY843" s="1"/>
    </row>
    <row r="844" spans="1:51" ht="15.75" customHeight="1" x14ac:dyDescent="0.2">
      <c r="A844" s="245"/>
      <c r="B844" s="244"/>
      <c r="C844" s="245"/>
      <c r="D844" s="1"/>
      <c r="E844" s="290"/>
      <c r="F844" s="1"/>
      <c r="L844" s="246"/>
      <c r="W844" s="1"/>
      <c r="Y844" s="1"/>
      <c r="AA844" s="1"/>
      <c r="AC844" s="1"/>
      <c r="AE844" s="1"/>
      <c r="AG844" s="1"/>
      <c r="AI844" s="1"/>
      <c r="AK844" s="1"/>
      <c r="AO844" s="1"/>
      <c r="AP844" s="1"/>
      <c r="AQ844" s="1"/>
      <c r="AR844" s="1"/>
      <c r="AT844" s="1"/>
      <c r="AU844" s="1"/>
      <c r="AV844" s="1"/>
      <c r="AW844" s="1"/>
      <c r="AX844" s="1"/>
      <c r="AY844" s="1"/>
    </row>
    <row r="845" spans="1:51" ht="15.75" customHeight="1" x14ac:dyDescent="0.2">
      <c r="A845" s="245"/>
      <c r="B845" s="244"/>
      <c r="C845" s="245"/>
      <c r="D845" s="1"/>
      <c r="E845" s="290"/>
      <c r="F845" s="1"/>
      <c r="L845" s="246"/>
      <c r="W845" s="1"/>
      <c r="Y845" s="1"/>
      <c r="AA845" s="1"/>
      <c r="AC845" s="1"/>
      <c r="AE845" s="1"/>
      <c r="AG845" s="1"/>
      <c r="AI845" s="1"/>
      <c r="AK845" s="1"/>
      <c r="AO845" s="1"/>
      <c r="AP845" s="1"/>
      <c r="AQ845" s="1"/>
      <c r="AR845" s="1"/>
      <c r="AT845" s="1"/>
      <c r="AU845" s="1"/>
      <c r="AV845" s="1"/>
      <c r="AW845" s="1"/>
      <c r="AX845" s="1"/>
      <c r="AY845" s="1"/>
    </row>
    <row r="846" spans="1:51" ht="15.75" customHeight="1" x14ac:dyDescent="0.2">
      <c r="A846" s="245"/>
      <c r="B846" s="244"/>
      <c r="C846" s="245"/>
      <c r="D846" s="1"/>
      <c r="E846" s="290"/>
      <c r="F846" s="1"/>
      <c r="L846" s="246"/>
      <c r="W846" s="1"/>
      <c r="Y846" s="1"/>
      <c r="AA846" s="1"/>
      <c r="AC846" s="1"/>
      <c r="AE846" s="1"/>
      <c r="AG846" s="1"/>
      <c r="AI846" s="1"/>
      <c r="AK846" s="1"/>
      <c r="AO846" s="1"/>
      <c r="AP846" s="1"/>
      <c r="AQ846" s="1"/>
      <c r="AR846" s="1"/>
      <c r="AT846" s="1"/>
      <c r="AU846" s="1"/>
      <c r="AV846" s="1"/>
      <c r="AW846" s="1"/>
      <c r="AX846" s="1"/>
      <c r="AY846" s="1"/>
    </row>
    <row r="847" spans="1:51" ht="15.75" customHeight="1" x14ac:dyDescent="0.2">
      <c r="A847" s="245"/>
      <c r="B847" s="244"/>
      <c r="C847" s="245"/>
      <c r="D847" s="1"/>
      <c r="E847" s="290"/>
      <c r="F847" s="1"/>
      <c r="L847" s="246"/>
      <c r="W847" s="1"/>
      <c r="Y847" s="1"/>
      <c r="AA847" s="1"/>
      <c r="AC847" s="1"/>
      <c r="AE847" s="1"/>
      <c r="AG847" s="1"/>
      <c r="AI847" s="1"/>
      <c r="AK847" s="1"/>
      <c r="AO847" s="1"/>
      <c r="AP847" s="1"/>
      <c r="AQ847" s="1"/>
      <c r="AR847" s="1"/>
      <c r="AT847" s="1"/>
      <c r="AU847" s="1"/>
      <c r="AV847" s="1"/>
      <c r="AW847" s="1"/>
      <c r="AX847" s="1"/>
      <c r="AY847" s="1"/>
    </row>
    <row r="848" spans="1:51" ht="15.75" customHeight="1" x14ac:dyDescent="0.2">
      <c r="A848" s="245"/>
      <c r="B848" s="244"/>
      <c r="C848" s="245"/>
      <c r="D848" s="1"/>
      <c r="E848" s="290"/>
      <c r="F848" s="1"/>
      <c r="L848" s="246"/>
      <c r="W848" s="1"/>
      <c r="Y848" s="1"/>
      <c r="AA848" s="1"/>
      <c r="AC848" s="1"/>
      <c r="AE848" s="1"/>
      <c r="AG848" s="1"/>
      <c r="AI848" s="1"/>
      <c r="AK848" s="1"/>
      <c r="AO848" s="1"/>
      <c r="AP848" s="1"/>
      <c r="AQ848" s="1"/>
      <c r="AR848" s="1"/>
      <c r="AT848" s="1"/>
      <c r="AU848" s="1"/>
      <c r="AV848" s="1"/>
      <c r="AW848" s="1"/>
      <c r="AX848" s="1"/>
      <c r="AY848" s="1"/>
    </row>
    <row r="849" spans="1:51" ht="15.75" customHeight="1" x14ac:dyDescent="0.2">
      <c r="A849" s="245"/>
      <c r="B849" s="244"/>
      <c r="C849" s="245"/>
      <c r="D849" s="1"/>
      <c r="E849" s="290"/>
      <c r="F849" s="1"/>
      <c r="L849" s="246"/>
      <c r="W849" s="1"/>
      <c r="Y849" s="1"/>
      <c r="AA849" s="1"/>
      <c r="AC849" s="1"/>
      <c r="AE849" s="1"/>
      <c r="AG849" s="1"/>
      <c r="AI849" s="1"/>
      <c r="AK849" s="1"/>
      <c r="AO849" s="1"/>
      <c r="AP849" s="1"/>
      <c r="AQ849" s="1"/>
      <c r="AR849" s="1"/>
      <c r="AT849" s="1"/>
      <c r="AU849" s="1"/>
      <c r="AV849" s="1"/>
      <c r="AW849" s="1"/>
      <c r="AX849" s="1"/>
      <c r="AY849" s="1"/>
    </row>
    <row r="850" spans="1:51" ht="15.75" customHeight="1" x14ac:dyDescent="0.2">
      <c r="A850" s="245"/>
      <c r="B850" s="244"/>
      <c r="C850" s="245"/>
      <c r="D850" s="1"/>
      <c r="E850" s="290"/>
      <c r="F850" s="1"/>
      <c r="L850" s="246"/>
      <c r="W850" s="1"/>
      <c r="Y850" s="1"/>
      <c r="AA850" s="1"/>
      <c r="AC850" s="1"/>
      <c r="AE850" s="1"/>
      <c r="AG850" s="1"/>
      <c r="AI850" s="1"/>
      <c r="AK850" s="1"/>
      <c r="AO850" s="1"/>
      <c r="AP850" s="1"/>
      <c r="AQ850" s="1"/>
      <c r="AR850" s="1"/>
      <c r="AT850" s="1"/>
      <c r="AU850" s="1"/>
      <c r="AV850" s="1"/>
      <c r="AW850" s="1"/>
      <c r="AX850" s="1"/>
      <c r="AY850" s="1"/>
    </row>
    <row r="851" spans="1:51" ht="15.75" customHeight="1" x14ac:dyDescent="0.2">
      <c r="A851" s="245"/>
      <c r="B851" s="244"/>
      <c r="C851" s="245"/>
      <c r="D851" s="1"/>
      <c r="E851" s="290"/>
      <c r="F851" s="1"/>
      <c r="L851" s="246"/>
      <c r="W851" s="1"/>
      <c r="Y851" s="1"/>
      <c r="AA851" s="1"/>
      <c r="AC851" s="1"/>
      <c r="AE851" s="1"/>
      <c r="AG851" s="1"/>
      <c r="AI851" s="1"/>
      <c r="AK851" s="1"/>
      <c r="AO851" s="1"/>
      <c r="AP851" s="1"/>
      <c r="AQ851" s="1"/>
      <c r="AR851" s="1"/>
      <c r="AT851" s="1"/>
      <c r="AU851" s="1"/>
      <c r="AV851" s="1"/>
      <c r="AW851" s="1"/>
      <c r="AX851" s="1"/>
      <c r="AY851" s="1"/>
    </row>
    <row r="852" spans="1:51" ht="15.75" customHeight="1" x14ac:dyDescent="0.2">
      <c r="A852" s="245"/>
      <c r="B852" s="244"/>
      <c r="C852" s="245"/>
      <c r="D852" s="1"/>
      <c r="E852" s="290"/>
      <c r="F852" s="1"/>
      <c r="L852" s="246"/>
      <c r="W852" s="1"/>
      <c r="Y852" s="1"/>
      <c r="AA852" s="1"/>
      <c r="AC852" s="1"/>
      <c r="AE852" s="1"/>
      <c r="AG852" s="1"/>
      <c r="AI852" s="1"/>
      <c r="AK852" s="1"/>
      <c r="AO852" s="1"/>
      <c r="AP852" s="1"/>
      <c r="AQ852" s="1"/>
      <c r="AR852" s="1"/>
      <c r="AT852" s="1"/>
      <c r="AU852" s="1"/>
      <c r="AV852" s="1"/>
      <c r="AW852" s="1"/>
      <c r="AX852" s="1"/>
      <c r="AY852" s="1"/>
    </row>
    <row r="853" spans="1:51" ht="15.75" customHeight="1" x14ac:dyDescent="0.2">
      <c r="A853" s="245"/>
      <c r="B853" s="244"/>
      <c r="C853" s="245"/>
      <c r="D853" s="1"/>
      <c r="E853" s="290"/>
      <c r="F853" s="1"/>
      <c r="L853" s="246"/>
      <c r="W853" s="1"/>
      <c r="Y853" s="1"/>
      <c r="AA853" s="1"/>
      <c r="AC853" s="1"/>
      <c r="AE853" s="1"/>
      <c r="AG853" s="1"/>
      <c r="AI853" s="1"/>
      <c r="AK853" s="1"/>
      <c r="AO853" s="1"/>
      <c r="AP853" s="1"/>
      <c r="AQ853" s="1"/>
      <c r="AR853" s="1"/>
      <c r="AT853" s="1"/>
      <c r="AU853" s="1"/>
      <c r="AV853" s="1"/>
      <c r="AW853" s="1"/>
      <c r="AX853" s="1"/>
      <c r="AY853" s="1"/>
    </row>
    <row r="854" spans="1:51" ht="15.75" customHeight="1" x14ac:dyDescent="0.2">
      <c r="A854" s="245"/>
      <c r="B854" s="244"/>
      <c r="C854" s="245"/>
      <c r="D854" s="1"/>
      <c r="E854" s="290"/>
      <c r="F854" s="1"/>
      <c r="L854" s="246"/>
      <c r="W854" s="1"/>
      <c r="Y854" s="1"/>
      <c r="AA854" s="1"/>
      <c r="AC854" s="1"/>
      <c r="AE854" s="1"/>
      <c r="AG854" s="1"/>
      <c r="AI854" s="1"/>
      <c r="AK854" s="1"/>
      <c r="AO854" s="1"/>
      <c r="AP854" s="1"/>
      <c r="AQ854" s="1"/>
      <c r="AR854" s="1"/>
      <c r="AT854" s="1"/>
      <c r="AU854" s="1"/>
      <c r="AV854" s="1"/>
      <c r="AW854" s="1"/>
      <c r="AX854" s="1"/>
      <c r="AY854" s="1"/>
    </row>
    <row r="855" spans="1:51" ht="15.75" customHeight="1" x14ac:dyDescent="0.2">
      <c r="A855" s="245"/>
      <c r="B855" s="244"/>
      <c r="C855" s="245"/>
      <c r="D855" s="1"/>
      <c r="E855" s="290"/>
      <c r="F855" s="1"/>
      <c r="L855" s="246"/>
      <c r="W855" s="1"/>
      <c r="Y855" s="1"/>
      <c r="AA855" s="1"/>
      <c r="AC855" s="1"/>
      <c r="AE855" s="1"/>
      <c r="AG855" s="1"/>
      <c r="AI855" s="1"/>
      <c r="AK855" s="1"/>
      <c r="AO855" s="1"/>
      <c r="AP855" s="1"/>
      <c r="AQ855" s="1"/>
      <c r="AR855" s="1"/>
      <c r="AT855" s="1"/>
      <c r="AU855" s="1"/>
      <c r="AV855" s="1"/>
      <c r="AW855" s="1"/>
      <c r="AX855" s="1"/>
      <c r="AY855" s="1"/>
    </row>
    <row r="856" spans="1:51" ht="15.75" customHeight="1" x14ac:dyDescent="0.2">
      <c r="A856" s="245"/>
      <c r="B856" s="244"/>
      <c r="C856" s="245"/>
      <c r="D856" s="1"/>
      <c r="E856" s="290"/>
      <c r="F856" s="1"/>
      <c r="L856" s="246"/>
      <c r="W856" s="1"/>
      <c r="Y856" s="1"/>
      <c r="AA856" s="1"/>
      <c r="AC856" s="1"/>
      <c r="AE856" s="1"/>
      <c r="AG856" s="1"/>
      <c r="AI856" s="1"/>
      <c r="AK856" s="1"/>
      <c r="AO856" s="1"/>
      <c r="AP856" s="1"/>
      <c r="AQ856" s="1"/>
      <c r="AR856" s="1"/>
      <c r="AT856" s="1"/>
      <c r="AU856" s="1"/>
      <c r="AV856" s="1"/>
      <c r="AW856" s="1"/>
      <c r="AX856" s="1"/>
      <c r="AY856" s="1"/>
    </row>
    <row r="857" spans="1:51" ht="15.75" customHeight="1" x14ac:dyDescent="0.2">
      <c r="A857" s="245"/>
      <c r="B857" s="244"/>
      <c r="C857" s="245"/>
      <c r="D857" s="1"/>
      <c r="E857" s="290"/>
      <c r="F857" s="1"/>
      <c r="L857" s="246"/>
      <c r="W857" s="1"/>
      <c r="Y857" s="1"/>
      <c r="AA857" s="1"/>
      <c r="AC857" s="1"/>
      <c r="AE857" s="1"/>
      <c r="AG857" s="1"/>
      <c r="AI857" s="1"/>
      <c r="AK857" s="1"/>
      <c r="AO857" s="1"/>
      <c r="AP857" s="1"/>
      <c r="AQ857" s="1"/>
      <c r="AR857" s="1"/>
      <c r="AT857" s="1"/>
      <c r="AU857" s="1"/>
      <c r="AV857" s="1"/>
      <c r="AW857" s="1"/>
      <c r="AX857" s="1"/>
      <c r="AY857" s="1"/>
    </row>
    <row r="858" spans="1:51" ht="15.75" customHeight="1" x14ac:dyDescent="0.2">
      <c r="A858" s="245"/>
      <c r="B858" s="244"/>
      <c r="C858" s="245"/>
      <c r="D858" s="1"/>
      <c r="E858" s="290"/>
      <c r="F858" s="1"/>
      <c r="L858" s="246"/>
      <c r="W858" s="1"/>
      <c r="Y858" s="1"/>
      <c r="AA858" s="1"/>
      <c r="AC858" s="1"/>
      <c r="AE858" s="1"/>
      <c r="AG858" s="1"/>
      <c r="AI858" s="1"/>
      <c r="AK858" s="1"/>
      <c r="AO858" s="1"/>
      <c r="AP858" s="1"/>
      <c r="AQ858" s="1"/>
      <c r="AR858" s="1"/>
      <c r="AT858" s="1"/>
      <c r="AU858" s="1"/>
      <c r="AV858" s="1"/>
      <c r="AW858" s="1"/>
      <c r="AX858" s="1"/>
      <c r="AY858" s="1"/>
    </row>
    <row r="859" spans="1:51" ht="15.75" customHeight="1" x14ac:dyDescent="0.2">
      <c r="A859" s="245"/>
      <c r="B859" s="244"/>
      <c r="C859" s="245"/>
      <c r="D859" s="1"/>
      <c r="E859" s="290"/>
      <c r="F859" s="1"/>
      <c r="L859" s="246"/>
      <c r="W859" s="1"/>
      <c r="Y859" s="1"/>
      <c r="AA859" s="1"/>
      <c r="AC859" s="1"/>
      <c r="AE859" s="1"/>
      <c r="AG859" s="1"/>
      <c r="AI859" s="1"/>
      <c r="AK859" s="1"/>
      <c r="AO859" s="1"/>
      <c r="AP859" s="1"/>
      <c r="AQ859" s="1"/>
      <c r="AR859" s="1"/>
      <c r="AT859" s="1"/>
      <c r="AU859" s="1"/>
      <c r="AV859" s="1"/>
      <c r="AW859" s="1"/>
      <c r="AX859" s="1"/>
      <c r="AY859" s="1"/>
    </row>
    <row r="860" spans="1:51" ht="15.75" customHeight="1" x14ac:dyDescent="0.2">
      <c r="A860" s="245"/>
      <c r="B860" s="244"/>
      <c r="C860" s="245"/>
      <c r="D860" s="1"/>
      <c r="E860" s="290"/>
      <c r="F860" s="1"/>
      <c r="L860" s="246"/>
      <c r="W860" s="1"/>
      <c r="Y860" s="1"/>
      <c r="AA860" s="1"/>
      <c r="AC860" s="1"/>
      <c r="AE860" s="1"/>
      <c r="AG860" s="1"/>
      <c r="AI860" s="1"/>
      <c r="AK860" s="1"/>
      <c r="AO860" s="1"/>
      <c r="AP860" s="1"/>
      <c r="AQ860" s="1"/>
      <c r="AR860" s="1"/>
      <c r="AT860" s="1"/>
      <c r="AU860" s="1"/>
      <c r="AV860" s="1"/>
      <c r="AW860" s="1"/>
      <c r="AX860" s="1"/>
      <c r="AY860" s="1"/>
    </row>
    <row r="861" spans="1:51" ht="15.75" customHeight="1" x14ac:dyDescent="0.2">
      <c r="A861" s="245"/>
      <c r="B861" s="244"/>
      <c r="C861" s="245"/>
      <c r="D861" s="1"/>
      <c r="E861" s="290"/>
      <c r="F861" s="1"/>
      <c r="L861" s="246"/>
      <c r="W861" s="1"/>
      <c r="Y861" s="1"/>
      <c r="AA861" s="1"/>
      <c r="AC861" s="1"/>
      <c r="AE861" s="1"/>
      <c r="AG861" s="1"/>
      <c r="AI861" s="1"/>
      <c r="AK861" s="1"/>
      <c r="AO861" s="1"/>
      <c r="AP861" s="1"/>
      <c r="AQ861" s="1"/>
      <c r="AR861" s="1"/>
      <c r="AT861" s="1"/>
      <c r="AU861" s="1"/>
      <c r="AV861" s="1"/>
      <c r="AW861" s="1"/>
      <c r="AX861" s="1"/>
      <c r="AY861" s="1"/>
    </row>
    <row r="862" spans="1:51" ht="15.75" customHeight="1" x14ac:dyDescent="0.2">
      <c r="A862" s="245"/>
      <c r="B862" s="244"/>
      <c r="C862" s="245"/>
      <c r="D862" s="1"/>
      <c r="E862" s="290"/>
      <c r="F862" s="1"/>
      <c r="L862" s="246"/>
      <c r="W862" s="1"/>
      <c r="Y862" s="1"/>
      <c r="AA862" s="1"/>
      <c r="AC862" s="1"/>
      <c r="AE862" s="1"/>
      <c r="AG862" s="1"/>
      <c r="AI862" s="1"/>
      <c r="AK862" s="1"/>
      <c r="AO862" s="1"/>
      <c r="AP862" s="1"/>
      <c r="AQ862" s="1"/>
      <c r="AR862" s="1"/>
      <c r="AT862" s="1"/>
      <c r="AU862" s="1"/>
      <c r="AV862" s="1"/>
      <c r="AW862" s="1"/>
      <c r="AX862" s="1"/>
      <c r="AY862" s="1"/>
    </row>
    <row r="863" spans="1:51" ht="15.75" customHeight="1" x14ac:dyDescent="0.2">
      <c r="A863" s="245"/>
      <c r="B863" s="244"/>
      <c r="C863" s="245"/>
      <c r="D863" s="1"/>
      <c r="E863" s="290"/>
      <c r="F863" s="1"/>
      <c r="L863" s="246"/>
      <c r="W863" s="1"/>
      <c r="Y863" s="1"/>
      <c r="AA863" s="1"/>
      <c r="AC863" s="1"/>
      <c r="AE863" s="1"/>
      <c r="AG863" s="1"/>
      <c r="AI863" s="1"/>
      <c r="AK863" s="1"/>
      <c r="AO863" s="1"/>
      <c r="AP863" s="1"/>
      <c r="AQ863" s="1"/>
      <c r="AR863" s="1"/>
      <c r="AT863" s="1"/>
      <c r="AU863" s="1"/>
      <c r="AV863" s="1"/>
      <c r="AW863" s="1"/>
      <c r="AX863" s="1"/>
      <c r="AY863" s="1"/>
    </row>
    <row r="864" spans="1:51" ht="15.75" customHeight="1" x14ac:dyDescent="0.2">
      <c r="A864" s="245"/>
      <c r="B864" s="244"/>
      <c r="C864" s="245"/>
      <c r="D864" s="1"/>
      <c r="E864" s="290"/>
      <c r="F864" s="1"/>
      <c r="L864" s="246"/>
      <c r="W864" s="1"/>
      <c r="Y864" s="1"/>
      <c r="AA864" s="1"/>
      <c r="AC864" s="1"/>
      <c r="AE864" s="1"/>
      <c r="AG864" s="1"/>
      <c r="AI864" s="1"/>
      <c r="AK864" s="1"/>
      <c r="AO864" s="1"/>
      <c r="AP864" s="1"/>
      <c r="AQ864" s="1"/>
      <c r="AR864" s="1"/>
      <c r="AT864" s="1"/>
      <c r="AU864" s="1"/>
      <c r="AV864" s="1"/>
      <c r="AW864" s="1"/>
      <c r="AX864" s="1"/>
      <c r="AY864" s="1"/>
    </row>
    <row r="865" spans="1:51" ht="15.75" customHeight="1" x14ac:dyDescent="0.2">
      <c r="A865" s="245"/>
      <c r="B865" s="244"/>
      <c r="C865" s="245"/>
      <c r="D865" s="1"/>
      <c r="E865" s="290"/>
      <c r="F865" s="1"/>
      <c r="L865" s="246"/>
      <c r="W865" s="1"/>
      <c r="Y865" s="1"/>
      <c r="AA865" s="1"/>
      <c r="AC865" s="1"/>
      <c r="AE865" s="1"/>
      <c r="AG865" s="1"/>
      <c r="AI865" s="1"/>
      <c r="AK865" s="1"/>
      <c r="AO865" s="1"/>
      <c r="AP865" s="1"/>
      <c r="AQ865" s="1"/>
      <c r="AR865" s="1"/>
      <c r="AT865" s="1"/>
      <c r="AU865" s="1"/>
      <c r="AV865" s="1"/>
      <c r="AW865" s="1"/>
      <c r="AX865" s="1"/>
      <c r="AY865" s="1"/>
    </row>
    <row r="866" spans="1:51" ht="15.75" customHeight="1" x14ac:dyDescent="0.2">
      <c r="A866" s="245"/>
      <c r="B866" s="244"/>
      <c r="C866" s="245"/>
      <c r="D866" s="1"/>
      <c r="E866" s="290"/>
      <c r="F866" s="1"/>
      <c r="L866" s="246"/>
      <c r="W866" s="1"/>
      <c r="Y866" s="1"/>
      <c r="AA866" s="1"/>
      <c r="AC866" s="1"/>
      <c r="AE866" s="1"/>
      <c r="AG866" s="1"/>
      <c r="AI866" s="1"/>
      <c r="AK866" s="1"/>
      <c r="AO866" s="1"/>
      <c r="AP866" s="1"/>
      <c r="AQ866" s="1"/>
      <c r="AR866" s="1"/>
      <c r="AT866" s="1"/>
      <c r="AU866" s="1"/>
      <c r="AV866" s="1"/>
      <c r="AW866" s="1"/>
      <c r="AX866" s="1"/>
      <c r="AY866" s="1"/>
    </row>
    <row r="867" spans="1:51" ht="15.75" customHeight="1" x14ac:dyDescent="0.2">
      <c r="A867" s="245"/>
      <c r="B867" s="244"/>
      <c r="C867" s="245"/>
      <c r="D867" s="1"/>
      <c r="E867" s="290"/>
      <c r="F867" s="1"/>
      <c r="L867" s="246"/>
      <c r="W867" s="1"/>
      <c r="Y867" s="1"/>
      <c r="AA867" s="1"/>
      <c r="AC867" s="1"/>
      <c r="AE867" s="1"/>
      <c r="AG867" s="1"/>
      <c r="AI867" s="1"/>
      <c r="AK867" s="1"/>
      <c r="AO867" s="1"/>
      <c r="AP867" s="1"/>
      <c r="AQ867" s="1"/>
      <c r="AR867" s="1"/>
      <c r="AT867" s="1"/>
      <c r="AU867" s="1"/>
      <c r="AV867" s="1"/>
      <c r="AW867" s="1"/>
      <c r="AX867" s="1"/>
      <c r="AY867" s="1"/>
    </row>
    <row r="868" spans="1:51" ht="15.75" customHeight="1" x14ac:dyDescent="0.2">
      <c r="A868" s="245"/>
      <c r="B868" s="244"/>
      <c r="C868" s="245"/>
      <c r="D868" s="1"/>
      <c r="E868" s="290"/>
      <c r="F868" s="1"/>
      <c r="L868" s="246"/>
      <c r="W868" s="1"/>
      <c r="Y868" s="1"/>
      <c r="AA868" s="1"/>
      <c r="AC868" s="1"/>
      <c r="AE868" s="1"/>
      <c r="AG868" s="1"/>
      <c r="AI868" s="1"/>
      <c r="AK868" s="1"/>
      <c r="AO868" s="1"/>
      <c r="AP868" s="1"/>
      <c r="AQ868" s="1"/>
      <c r="AR868" s="1"/>
      <c r="AT868" s="1"/>
      <c r="AU868" s="1"/>
      <c r="AV868" s="1"/>
      <c r="AW868" s="1"/>
      <c r="AX868" s="1"/>
      <c r="AY868" s="1"/>
    </row>
    <row r="869" spans="1:51" ht="15.75" customHeight="1" x14ac:dyDescent="0.2">
      <c r="A869" s="245"/>
      <c r="B869" s="244"/>
      <c r="C869" s="245"/>
      <c r="D869" s="1"/>
      <c r="E869" s="290"/>
      <c r="F869" s="1"/>
      <c r="L869" s="246"/>
      <c r="W869" s="1"/>
      <c r="Y869" s="1"/>
      <c r="AA869" s="1"/>
      <c r="AC869" s="1"/>
      <c r="AE869" s="1"/>
      <c r="AG869" s="1"/>
      <c r="AI869" s="1"/>
      <c r="AK869" s="1"/>
      <c r="AO869" s="1"/>
      <c r="AP869" s="1"/>
      <c r="AQ869" s="1"/>
      <c r="AR869" s="1"/>
      <c r="AT869" s="1"/>
      <c r="AU869" s="1"/>
      <c r="AV869" s="1"/>
      <c r="AW869" s="1"/>
      <c r="AX869" s="1"/>
      <c r="AY869" s="1"/>
    </row>
    <row r="870" spans="1:51" ht="15.75" customHeight="1" x14ac:dyDescent="0.2">
      <c r="A870" s="245"/>
      <c r="B870" s="244"/>
      <c r="C870" s="245"/>
      <c r="D870" s="1"/>
      <c r="E870" s="290"/>
      <c r="F870" s="1"/>
      <c r="L870" s="246"/>
      <c r="W870" s="1"/>
      <c r="Y870" s="1"/>
      <c r="AA870" s="1"/>
      <c r="AC870" s="1"/>
      <c r="AE870" s="1"/>
      <c r="AG870" s="1"/>
      <c r="AI870" s="1"/>
      <c r="AK870" s="1"/>
      <c r="AO870" s="1"/>
      <c r="AP870" s="1"/>
      <c r="AQ870" s="1"/>
      <c r="AR870" s="1"/>
      <c r="AT870" s="1"/>
      <c r="AU870" s="1"/>
      <c r="AV870" s="1"/>
      <c r="AW870" s="1"/>
      <c r="AX870" s="1"/>
      <c r="AY870" s="1"/>
    </row>
    <row r="871" spans="1:51" ht="15.75" customHeight="1" x14ac:dyDescent="0.2">
      <c r="A871" s="245"/>
      <c r="B871" s="244"/>
      <c r="C871" s="245"/>
      <c r="D871" s="1"/>
      <c r="E871" s="290"/>
      <c r="F871" s="1"/>
      <c r="L871" s="246"/>
      <c r="W871" s="1"/>
      <c r="Y871" s="1"/>
      <c r="AA871" s="1"/>
      <c r="AC871" s="1"/>
      <c r="AE871" s="1"/>
      <c r="AG871" s="1"/>
      <c r="AI871" s="1"/>
      <c r="AK871" s="1"/>
      <c r="AO871" s="1"/>
      <c r="AP871" s="1"/>
      <c r="AQ871" s="1"/>
      <c r="AR871" s="1"/>
      <c r="AT871" s="1"/>
      <c r="AU871" s="1"/>
      <c r="AV871" s="1"/>
      <c r="AW871" s="1"/>
      <c r="AX871" s="1"/>
      <c r="AY871" s="1"/>
    </row>
    <row r="872" spans="1:51" ht="15.75" customHeight="1" x14ac:dyDescent="0.2">
      <c r="A872" s="245"/>
      <c r="B872" s="244"/>
      <c r="C872" s="245"/>
      <c r="D872" s="1"/>
      <c r="E872" s="290"/>
      <c r="F872" s="1"/>
      <c r="L872" s="246"/>
      <c r="W872" s="1"/>
      <c r="Y872" s="1"/>
      <c r="AA872" s="1"/>
      <c r="AC872" s="1"/>
      <c r="AE872" s="1"/>
      <c r="AG872" s="1"/>
      <c r="AI872" s="1"/>
      <c r="AK872" s="1"/>
      <c r="AO872" s="1"/>
      <c r="AP872" s="1"/>
      <c r="AQ872" s="1"/>
      <c r="AR872" s="1"/>
      <c r="AT872" s="1"/>
      <c r="AU872" s="1"/>
      <c r="AV872" s="1"/>
      <c r="AW872" s="1"/>
      <c r="AX872" s="1"/>
      <c r="AY872" s="1"/>
    </row>
    <row r="873" spans="1:51" ht="15.75" customHeight="1" x14ac:dyDescent="0.2">
      <c r="A873" s="245"/>
      <c r="B873" s="244"/>
      <c r="C873" s="245"/>
      <c r="D873" s="1"/>
      <c r="E873" s="290"/>
      <c r="F873" s="1"/>
      <c r="L873" s="246"/>
      <c r="W873" s="1"/>
      <c r="Y873" s="1"/>
      <c r="AA873" s="1"/>
      <c r="AC873" s="1"/>
      <c r="AE873" s="1"/>
      <c r="AG873" s="1"/>
      <c r="AI873" s="1"/>
      <c r="AK873" s="1"/>
      <c r="AO873" s="1"/>
      <c r="AP873" s="1"/>
      <c r="AQ873" s="1"/>
      <c r="AR873" s="1"/>
      <c r="AT873" s="1"/>
      <c r="AU873" s="1"/>
      <c r="AV873" s="1"/>
      <c r="AW873" s="1"/>
      <c r="AX873" s="1"/>
      <c r="AY873" s="1"/>
    </row>
    <row r="874" spans="1:51" ht="15.75" customHeight="1" x14ac:dyDescent="0.2">
      <c r="A874" s="245"/>
      <c r="B874" s="244"/>
      <c r="C874" s="245"/>
      <c r="D874" s="1"/>
      <c r="E874" s="290"/>
      <c r="F874" s="1"/>
      <c r="L874" s="246"/>
      <c r="W874" s="1"/>
      <c r="Y874" s="1"/>
      <c r="AA874" s="1"/>
      <c r="AC874" s="1"/>
      <c r="AE874" s="1"/>
      <c r="AG874" s="1"/>
      <c r="AI874" s="1"/>
      <c r="AK874" s="1"/>
      <c r="AO874" s="1"/>
      <c r="AP874" s="1"/>
      <c r="AQ874" s="1"/>
      <c r="AR874" s="1"/>
      <c r="AT874" s="1"/>
      <c r="AU874" s="1"/>
      <c r="AV874" s="1"/>
      <c r="AW874" s="1"/>
      <c r="AX874" s="1"/>
      <c r="AY874" s="1"/>
    </row>
    <row r="875" spans="1:51" ht="15.75" customHeight="1" x14ac:dyDescent="0.2">
      <c r="A875" s="245"/>
      <c r="B875" s="244"/>
      <c r="C875" s="245"/>
      <c r="D875" s="1"/>
      <c r="E875" s="290"/>
      <c r="F875" s="1"/>
      <c r="L875" s="246"/>
      <c r="W875" s="1"/>
      <c r="Y875" s="1"/>
      <c r="AA875" s="1"/>
      <c r="AC875" s="1"/>
      <c r="AE875" s="1"/>
      <c r="AG875" s="1"/>
      <c r="AI875" s="1"/>
      <c r="AK875" s="1"/>
      <c r="AO875" s="1"/>
      <c r="AP875" s="1"/>
      <c r="AQ875" s="1"/>
      <c r="AR875" s="1"/>
      <c r="AT875" s="1"/>
      <c r="AU875" s="1"/>
      <c r="AV875" s="1"/>
      <c r="AW875" s="1"/>
      <c r="AX875" s="1"/>
      <c r="AY875" s="1"/>
    </row>
    <row r="876" spans="1:51" ht="15.75" customHeight="1" x14ac:dyDescent="0.2">
      <c r="A876" s="245"/>
      <c r="B876" s="244"/>
      <c r="C876" s="245"/>
      <c r="D876" s="1"/>
      <c r="E876" s="290"/>
      <c r="F876" s="1"/>
      <c r="L876" s="246"/>
      <c r="W876" s="1"/>
      <c r="Y876" s="1"/>
      <c r="AA876" s="1"/>
      <c r="AC876" s="1"/>
      <c r="AE876" s="1"/>
      <c r="AG876" s="1"/>
      <c r="AI876" s="1"/>
      <c r="AK876" s="1"/>
      <c r="AO876" s="1"/>
      <c r="AP876" s="1"/>
      <c r="AQ876" s="1"/>
      <c r="AR876" s="1"/>
      <c r="AT876" s="1"/>
      <c r="AU876" s="1"/>
      <c r="AV876" s="1"/>
      <c r="AW876" s="1"/>
      <c r="AX876" s="1"/>
      <c r="AY876" s="1"/>
    </row>
    <row r="877" spans="1:51" ht="15.75" customHeight="1" x14ac:dyDescent="0.2">
      <c r="A877" s="245"/>
      <c r="B877" s="244"/>
      <c r="C877" s="245"/>
      <c r="D877" s="1"/>
      <c r="E877" s="290"/>
      <c r="F877" s="1"/>
      <c r="L877" s="246"/>
      <c r="W877" s="1"/>
      <c r="Y877" s="1"/>
      <c r="AA877" s="1"/>
      <c r="AC877" s="1"/>
      <c r="AE877" s="1"/>
      <c r="AG877" s="1"/>
      <c r="AI877" s="1"/>
      <c r="AK877" s="1"/>
      <c r="AO877" s="1"/>
      <c r="AP877" s="1"/>
      <c r="AQ877" s="1"/>
      <c r="AR877" s="1"/>
      <c r="AT877" s="1"/>
      <c r="AU877" s="1"/>
      <c r="AV877" s="1"/>
      <c r="AW877" s="1"/>
      <c r="AX877" s="1"/>
      <c r="AY877" s="1"/>
    </row>
    <row r="878" spans="1:51" ht="15.75" customHeight="1" x14ac:dyDescent="0.2">
      <c r="A878" s="245"/>
      <c r="B878" s="244"/>
      <c r="C878" s="245"/>
      <c r="D878" s="1"/>
      <c r="E878" s="290"/>
      <c r="F878" s="1"/>
      <c r="L878" s="246"/>
      <c r="W878" s="1"/>
      <c r="Y878" s="1"/>
      <c r="AA878" s="1"/>
      <c r="AC878" s="1"/>
      <c r="AE878" s="1"/>
      <c r="AG878" s="1"/>
      <c r="AI878" s="1"/>
      <c r="AK878" s="1"/>
      <c r="AO878" s="1"/>
      <c r="AP878" s="1"/>
      <c r="AQ878" s="1"/>
      <c r="AR878" s="1"/>
      <c r="AT878" s="1"/>
      <c r="AU878" s="1"/>
      <c r="AV878" s="1"/>
      <c r="AW878" s="1"/>
      <c r="AX878" s="1"/>
      <c r="AY878" s="1"/>
    </row>
    <row r="879" spans="1:51" ht="15.75" customHeight="1" x14ac:dyDescent="0.2">
      <c r="A879" s="245"/>
      <c r="B879" s="244"/>
      <c r="C879" s="245"/>
      <c r="D879" s="1"/>
      <c r="E879" s="290"/>
      <c r="F879" s="1"/>
      <c r="L879" s="246"/>
      <c r="W879" s="1"/>
      <c r="Y879" s="1"/>
      <c r="AA879" s="1"/>
      <c r="AC879" s="1"/>
      <c r="AE879" s="1"/>
      <c r="AG879" s="1"/>
      <c r="AI879" s="1"/>
      <c r="AK879" s="1"/>
      <c r="AO879" s="1"/>
      <c r="AP879" s="1"/>
      <c r="AQ879" s="1"/>
      <c r="AR879" s="1"/>
      <c r="AT879" s="1"/>
      <c r="AU879" s="1"/>
      <c r="AV879" s="1"/>
      <c r="AW879" s="1"/>
      <c r="AX879" s="1"/>
      <c r="AY879" s="1"/>
    </row>
    <row r="880" spans="1:51" ht="15.75" customHeight="1" x14ac:dyDescent="0.2">
      <c r="A880" s="245"/>
      <c r="B880" s="244"/>
      <c r="C880" s="245"/>
      <c r="D880" s="1"/>
      <c r="E880" s="290"/>
      <c r="F880" s="1"/>
      <c r="L880" s="246"/>
      <c r="W880" s="1"/>
      <c r="Y880" s="1"/>
      <c r="AA880" s="1"/>
      <c r="AC880" s="1"/>
      <c r="AE880" s="1"/>
      <c r="AG880" s="1"/>
      <c r="AI880" s="1"/>
      <c r="AK880" s="1"/>
      <c r="AO880" s="1"/>
      <c r="AP880" s="1"/>
      <c r="AQ880" s="1"/>
      <c r="AR880" s="1"/>
      <c r="AT880" s="1"/>
      <c r="AU880" s="1"/>
      <c r="AV880" s="1"/>
      <c r="AW880" s="1"/>
      <c r="AX880" s="1"/>
      <c r="AY880" s="1"/>
    </row>
    <row r="881" spans="1:51" ht="15.75" customHeight="1" x14ac:dyDescent="0.2">
      <c r="A881" s="245"/>
      <c r="B881" s="244"/>
      <c r="C881" s="245"/>
      <c r="D881" s="1"/>
      <c r="E881" s="290"/>
      <c r="F881" s="1"/>
      <c r="L881" s="246"/>
      <c r="W881" s="1"/>
      <c r="Y881" s="1"/>
      <c r="AA881" s="1"/>
      <c r="AC881" s="1"/>
      <c r="AE881" s="1"/>
      <c r="AG881" s="1"/>
      <c r="AI881" s="1"/>
      <c r="AK881" s="1"/>
      <c r="AO881" s="1"/>
      <c r="AP881" s="1"/>
      <c r="AQ881" s="1"/>
      <c r="AR881" s="1"/>
      <c r="AT881" s="1"/>
      <c r="AU881" s="1"/>
      <c r="AV881" s="1"/>
      <c r="AW881" s="1"/>
      <c r="AX881" s="1"/>
      <c r="AY881" s="1"/>
    </row>
    <row r="882" spans="1:51" ht="15.75" customHeight="1" x14ac:dyDescent="0.2">
      <c r="A882" s="245"/>
      <c r="B882" s="244"/>
      <c r="C882" s="245"/>
      <c r="D882" s="1"/>
      <c r="E882" s="290"/>
      <c r="F882" s="1"/>
      <c r="L882" s="246"/>
      <c r="W882" s="1"/>
      <c r="Y882" s="1"/>
      <c r="AA882" s="1"/>
      <c r="AC882" s="1"/>
      <c r="AE882" s="1"/>
      <c r="AG882" s="1"/>
      <c r="AI882" s="1"/>
      <c r="AK882" s="1"/>
      <c r="AO882" s="1"/>
      <c r="AP882" s="1"/>
      <c r="AQ882" s="1"/>
      <c r="AR882" s="1"/>
      <c r="AT882" s="1"/>
      <c r="AU882" s="1"/>
      <c r="AV882" s="1"/>
      <c r="AW882" s="1"/>
      <c r="AX882" s="1"/>
      <c r="AY882" s="1"/>
    </row>
    <row r="883" spans="1:51" ht="15.75" customHeight="1" x14ac:dyDescent="0.2">
      <c r="A883" s="245"/>
      <c r="B883" s="244"/>
      <c r="C883" s="245"/>
      <c r="D883" s="1"/>
      <c r="E883" s="290"/>
      <c r="F883" s="1"/>
      <c r="L883" s="246"/>
      <c r="W883" s="1"/>
      <c r="Y883" s="1"/>
      <c r="AA883" s="1"/>
      <c r="AC883" s="1"/>
      <c r="AE883" s="1"/>
      <c r="AG883" s="1"/>
      <c r="AI883" s="1"/>
      <c r="AK883" s="1"/>
      <c r="AO883" s="1"/>
      <c r="AP883" s="1"/>
      <c r="AQ883" s="1"/>
      <c r="AR883" s="1"/>
      <c r="AT883" s="1"/>
      <c r="AU883" s="1"/>
      <c r="AV883" s="1"/>
      <c r="AW883" s="1"/>
      <c r="AX883" s="1"/>
      <c r="AY883" s="1"/>
    </row>
    <row r="884" spans="1:51" ht="15.75" customHeight="1" x14ac:dyDescent="0.2">
      <c r="A884" s="245"/>
      <c r="B884" s="244"/>
      <c r="C884" s="245"/>
      <c r="D884" s="1"/>
      <c r="E884" s="290"/>
      <c r="F884" s="1"/>
      <c r="L884" s="246"/>
      <c r="W884" s="1"/>
      <c r="Y884" s="1"/>
      <c r="AA884" s="1"/>
      <c r="AC884" s="1"/>
      <c r="AE884" s="1"/>
      <c r="AG884" s="1"/>
      <c r="AI884" s="1"/>
      <c r="AK884" s="1"/>
      <c r="AO884" s="1"/>
      <c r="AP884" s="1"/>
      <c r="AQ884" s="1"/>
      <c r="AR884" s="1"/>
      <c r="AT884" s="1"/>
      <c r="AU884" s="1"/>
      <c r="AV884" s="1"/>
      <c r="AW884" s="1"/>
      <c r="AX884" s="1"/>
      <c r="AY884" s="1"/>
    </row>
    <row r="885" spans="1:51" ht="15.75" customHeight="1" x14ac:dyDescent="0.2">
      <c r="A885" s="245"/>
      <c r="B885" s="244"/>
      <c r="C885" s="245"/>
      <c r="D885" s="1"/>
      <c r="E885" s="290"/>
      <c r="F885" s="1"/>
      <c r="L885" s="246"/>
      <c r="W885" s="1"/>
      <c r="Y885" s="1"/>
      <c r="AA885" s="1"/>
      <c r="AC885" s="1"/>
      <c r="AE885" s="1"/>
      <c r="AG885" s="1"/>
      <c r="AI885" s="1"/>
      <c r="AK885" s="1"/>
      <c r="AO885" s="1"/>
      <c r="AP885" s="1"/>
      <c r="AQ885" s="1"/>
      <c r="AR885" s="1"/>
      <c r="AT885" s="1"/>
      <c r="AU885" s="1"/>
      <c r="AV885" s="1"/>
      <c r="AW885" s="1"/>
      <c r="AX885" s="1"/>
      <c r="AY885" s="1"/>
    </row>
    <row r="886" spans="1:51" ht="15.75" customHeight="1" x14ac:dyDescent="0.2">
      <c r="A886" s="245"/>
      <c r="B886" s="244"/>
      <c r="C886" s="245"/>
      <c r="D886" s="1"/>
      <c r="E886" s="290"/>
      <c r="F886" s="1"/>
      <c r="L886" s="246"/>
      <c r="W886" s="1"/>
      <c r="Y886" s="1"/>
      <c r="AA886" s="1"/>
      <c r="AC886" s="1"/>
      <c r="AE886" s="1"/>
      <c r="AG886" s="1"/>
      <c r="AI886" s="1"/>
      <c r="AK886" s="1"/>
      <c r="AO886" s="1"/>
      <c r="AP886" s="1"/>
      <c r="AQ886" s="1"/>
      <c r="AR886" s="1"/>
      <c r="AT886" s="1"/>
      <c r="AU886" s="1"/>
      <c r="AV886" s="1"/>
      <c r="AW886" s="1"/>
      <c r="AX886" s="1"/>
      <c r="AY886" s="1"/>
    </row>
    <row r="887" spans="1:51" ht="15.75" customHeight="1" x14ac:dyDescent="0.2">
      <c r="A887" s="245"/>
      <c r="B887" s="244"/>
      <c r="C887" s="245"/>
      <c r="D887" s="1"/>
      <c r="E887" s="290"/>
      <c r="F887" s="1"/>
      <c r="L887" s="246"/>
      <c r="W887" s="1"/>
      <c r="Y887" s="1"/>
      <c r="AA887" s="1"/>
      <c r="AC887" s="1"/>
      <c r="AE887" s="1"/>
      <c r="AG887" s="1"/>
      <c r="AI887" s="1"/>
      <c r="AK887" s="1"/>
      <c r="AO887" s="1"/>
      <c r="AP887" s="1"/>
      <c r="AQ887" s="1"/>
      <c r="AR887" s="1"/>
      <c r="AT887" s="1"/>
      <c r="AU887" s="1"/>
      <c r="AV887" s="1"/>
      <c r="AW887" s="1"/>
      <c r="AX887" s="1"/>
      <c r="AY887" s="1"/>
    </row>
    <row r="888" spans="1:51" ht="15.75" customHeight="1" x14ac:dyDescent="0.2">
      <c r="A888" s="245"/>
      <c r="B888" s="244"/>
      <c r="C888" s="245"/>
      <c r="D888" s="1"/>
      <c r="E888" s="290"/>
      <c r="F888" s="1"/>
      <c r="L888" s="246"/>
      <c r="W888" s="1"/>
      <c r="Y888" s="1"/>
      <c r="AA888" s="1"/>
      <c r="AC888" s="1"/>
      <c r="AE888" s="1"/>
      <c r="AG888" s="1"/>
      <c r="AI888" s="1"/>
      <c r="AK888" s="1"/>
      <c r="AO888" s="1"/>
      <c r="AP888" s="1"/>
      <c r="AQ888" s="1"/>
      <c r="AR888" s="1"/>
      <c r="AT888" s="1"/>
      <c r="AU888" s="1"/>
      <c r="AV888" s="1"/>
      <c r="AW888" s="1"/>
      <c r="AX888" s="1"/>
      <c r="AY888" s="1"/>
    </row>
    <row r="889" spans="1:51" ht="15.75" customHeight="1" x14ac:dyDescent="0.2">
      <c r="A889" s="245"/>
      <c r="B889" s="244"/>
      <c r="C889" s="245"/>
      <c r="D889" s="1"/>
      <c r="E889" s="290"/>
      <c r="F889" s="1"/>
      <c r="L889" s="246"/>
      <c r="W889" s="1"/>
      <c r="Y889" s="1"/>
      <c r="AA889" s="1"/>
      <c r="AC889" s="1"/>
      <c r="AE889" s="1"/>
      <c r="AG889" s="1"/>
      <c r="AI889" s="1"/>
      <c r="AK889" s="1"/>
      <c r="AO889" s="1"/>
      <c r="AP889" s="1"/>
      <c r="AQ889" s="1"/>
      <c r="AR889" s="1"/>
      <c r="AT889" s="1"/>
      <c r="AU889" s="1"/>
      <c r="AV889" s="1"/>
      <c r="AW889" s="1"/>
      <c r="AX889" s="1"/>
      <c r="AY889" s="1"/>
    </row>
    <row r="890" spans="1:51" ht="15.75" customHeight="1" x14ac:dyDescent="0.2">
      <c r="A890" s="245"/>
      <c r="B890" s="244"/>
      <c r="C890" s="245"/>
      <c r="D890" s="1"/>
      <c r="E890" s="290"/>
      <c r="F890" s="1"/>
      <c r="L890" s="246"/>
      <c r="W890" s="1"/>
      <c r="Y890" s="1"/>
      <c r="AA890" s="1"/>
      <c r="AC890" s="1"/>
      <c r="AE890" s="1"/>
      <c r="AG890" s="1"/>
      <c r="AI890" s="1"/>
      <c r="AK890" s="1"/>
      <c r="AO890" s="1"/>
      <c r="AP890" s="1"/>
      <c r="AQ890" s="1"/>
      <c r="AR890" s="1"/>
      <c r="AT890" s="1"/>
      <c r="AU890" s="1"/>
      <c r="AV890" s="1"/>
      <c r="AW890" s="1"/>
      <c r="AX890" s="1"/>
      <c r="AY890" s="1"/>
    </row>
    <row r="891" spans="1:51" ht="15.75" customHeight="1" x14ac:dyDescent="0.2">
      <c r="A891" s="245"/>
      <c r="B891" s="244"/>
      <c r="C891" s="245"/>
      <c r="D891" s="1"/>
      <c r="E891" s="290"/>
      <c r="F891" s="1"/>
      <c r="L891" s="246"/>
      <c r="W891" s="1"/>
      <c r="Y891" s="1"/>
      <c r="AA891" s="1"/>
      <c r="AC891" s="1"/>
      <c r="AE891" s="1"/>
      <c r="AG891" s="1"/>
      <c r="AI891" s="1"/>
      <c r="AK891" s="1"/>
      <c r="AO891" s="1"/>
      <c r="AP891" s="1"/>
      <c r="AQ891" s="1"/>
      <c r="AR891" s="1"/>
      <c r="AT891" s="1"/>
      <c r="AU891" s="1"/>
      <c r="AV891" s="1"/>
      <c r="AW891" s="1"/>
      <c r="AX891" s="1"/>
      <c r="AY891" s="1"/>
    </row>
    <row r="892" spans="1:51" ht="15.75" customHeight="1" x14ac:dyDescent="0.2">
      <c r="A892" s="245"/>
      <c r="B892" s="244"/>
      <c r="C892" s="245"/>
      <c r="D892" s="1"/>
      <c r="E892" s="290"/>
      <c r="F892" s="1"/>
      <c r="L892" s="246"/>
      <c r="W892" s="1"/>
      <c r="Y892" s="1"/>
      <c r="AA892" s="1"/>
      <c r="AC892" s="1"/>
      <c r="AE892" s="1"/>
      <c r="AG892" s="1"/>
      <c r="AI892" s="1"/>
      <c r="AK892" s="1"/>
      <c r="AO892" s="1"/>
      <c r="AP892" s="1"/>
      <c r="AQ892" s="1"/>
      <c r="AR892" s="1"/>
      <c r="AT892" s="1"/>
      <c r="AU892" s="1"/>
      <c r="AV892" s="1"/>
      <c r="AW892" s="1"/>
      <c r="AX892" s="1"/>
      <c r="AY892" s="1"/>
    </row>
    <row r="893" spans="1:51" ht="15.75" customHeight="1" x14ac:dyDescent="0.2">
      <c r="A893" s="245"/>
      <c r="B893" s="244"/>
      <c r="C893" s="245"/>
      <c r="D893" s="1"/>
      <c r="E893" s="290"/>
      <c r="F893" s="1"/>
      <c r="L893" s="246"/>
      <c r="W893" s="1"/>
      <c r="Y893" s="1"/>
      <c r="AA893" s="1"/>
      <c r="AC893" s="1"/>
      <c r="AE893" s="1"/>
      <c r="AG893" s="1"/>
      <c r="AI893" s="1"/>
      <c r="AK893" s="1"/>
      <c r="AO893" s="1"/>
      <c r="AP893" s="1"/>
      <c r="AQ893" s="1"/>
      <c r="AR893" s="1"/>
      <c r="AT893" s="1"/>
      <c r="AU893" s="1"/>
      <c r="AV893" s="1"/>
      <c r="AW893" s="1"/>
      <c r="AX893" s="1"/>
      <c r="AY893" s="1"/>
    </row>
    <row r="894" spans="1:51" ht="15.75" customHeight="1" x14ac:dyDescent="0.2">
      <c r="A894" s="245"/>
      <c r="B894" s="244"/>
      <c r="C894" s="245"/>
      <c r="D894" s="1"/>
      <c r="E894" s="290"/>
      <c r="F894" s="1"/>
      <c r="L894" s="246"/>
      <c r="W894" s="1"/>
      <c r="Y894" s="1"/>
      <c r="AA894" s="1"/>
      <c r="AC894" s="1"/>
      <c r="AE894" s="1"/>
      <c r="AG894" s="1"/>
      <c r="AI894" s="1"/>
      <c r="AK894" s="1"/>
      <c r="AO894" s="1"/>
      <c r="AP894" s="1"/>
      <c r="AQ894" s="1"/>
      <c r="AR894" s="1"/>
      <c r="AT894" s="1"/>
      <c r="AU894" s="1"/>
      <c r="AV894" s="1"/>
      <c r="AW894" s="1"/>
      <c r="AX894" s="1"/>
      <c r="AY894" s="1"/>
    </row>
    <row r="895" spans="1:51" ht="15.75" customHeight="1" x14ac:dyDescent="0.2">
      <c r="A895" s="245"/>
      <c r="B895" s="244"/>
      <c r="C895" s="245"/>
      <c r="D895" s="1"/>
      <c r="E895" s="290"/>
      <c r="F895" s="1"/>
      <c r="L895" s="246"/>
      <c r="W895" s="1"/>
      <c r="Y895" s="1"/>
      <c r="AA895" s="1"/>
      <c r="AC895" s="1"/>
      <c r="AE895" s="1"/>
      <c r="AG895" s="1"/>
      <c r="AI895" s="1"/>
      <c r="AK895" s="1"/>
      <c r="AO895" s="1"/>
      <c r="AP895" s="1"/>
      <c r="AQ895" s="1"/>
      <c r="AR895" s="1"/>
      <c r="AT895" s="1"/>
      <c r="AU895" s="1"/>
      <c r="AV895" s="1"/>
      <c r="AW895" s="1"/>
      <c r="AX895" s="1"/>
      <c r="AY895" s="1"/>
    </row>
    <row r="896" spans="1:51" ht="15.75" customHeight="1" x14ac:dyDescent="0.2">
      <c r="A896" s="245"/>
      <c r="B896" s="244"/>
      <c r="C896" s="245"/>
      <c r="D896" s="1"/>
      <c r="E896" s="290"/>
      <c r="F896" s="1"/>
      <c r="L896" s="246"/>
      <c r="W896" s="1"/>
      <c r="Y896" s="1"/>
      <c r="AA896" s="1"/>
      <c r="AC896" s="1"/>
      <c r="AE896" s="1"/>
      <c r="AG896" s="1"/>
      <c r="AI896" s="1"/>
      <c r="AK896" s="1"/>
      <c r="AO896" s="1"/>
      <c r="AP896" s="1"/>
      <c r="AQ896" s="1"/>
      <c r="AR896" s="1"/>
      <c r="AT896" s="1"/>
      <c r="AU896" s="1"/>
      <c r="AV896" s="1"/>
      <c r="AW896" s="1"/>
      <c r="AX896" s="1"/>
      <c r="AY896" s="1"/>
    </row>
    <row r="897" spans="1:51" ht="15.75" customHeight="1" x14ac:dyDescent="0.2">
      <c r="A897" s="245"/>
      <c r="B897" s="244"/>
      <c r="C897" s="245"/>
      <c r="D897" s="1"/>
      <c r="E897" s="290"/>
      <c r="F897" s="1"/>
      <c r="L897" s="246"/>
      <c r="W897" s="1"/>
      <c r="Y897" s="1"/>
      <c r="AA897" s="1"/>
      <c r="AC897" s="1"/>
      <c r="AE897" s="1"/>
      <c r="AG897" s="1"/>
      <c r="AI897" s="1"/>
      <c r="AK897" s="1"/>
      <c r="AO897" s="1"/>
      <c r="AP897" s="1"/>
      <c r="AQ897" s="1"/>
      <c r="AR897" s="1"/>
      <c r="AT897" s="1"/>
      <c r="AU897" s="1"/>
      <c r="AV897" s="1"/>
      <c r="AW897" s="1"/>
      <c r="AX897" s="1"/>
      <c r="AY897" s="1"/>
    </row>
    <row r="898" spans="1:51" ht="15.75" customHeight="1" x14ac:dyDescent="0.2">
      <c r="A898" s="245"/>
      <c r="B898" s="244"/>
      <c r="C898" s="245"/>
      <c r="D898" s="1"/>
      <c r="E898" s="290"/>
      <c r="F898" s="1"/>
      <c r="L898" s="246"/>
      <c r="W898" s="1"/>
      <c r="Y898" s="1"/>
      <c r="AA898" s="1"/>
      <c r="AC898" s="1"/>
      <c r="AE898" s="1"/>
      <c r="AG898" s="1"/>
      <c r="AI898" s="1"/>
      <c r="AK898" s="1"/>
      <c r="AO898" s="1"/>
      <c r="AP898" s="1"/>
      <c r="AQ898" s="1"/>
      <c r="AR898" s="1"/>
      <c r="AT898" s="1"/>
      <c r="AU898" s="1"/>
      <c r="AV898" s="1"/>
      <c r="AW898" s="1"/>
      <c r="AX898" s="1"/>
      <c r="AY898" s="1"/>
    </row>
    <row r="899" spans="1:51" ht="15.75" customHeight="1" x14ac:dyDescent="0.2">
      <c r="A899" s="245"/>
      <c r="B899" s="244"/>
      <c r="C899" s="245"/>
      <c r="D899" s="1"/>
      <c r="E899" s="290"/>
      <c r="F899" s="1"/>
      <c r="L899" s="246"/>
      <c r="W899" s="1"/>
      <c r="Y899" s="1"/>
      <c r="AA899" s="1"/>
      <c r="AC899" s="1"/>
      <c r="AE899" s="1"/>
      <c r="AG899" s="1"/>
      <c r="AI899" s="1"/>
      <c r="AK899" s="1"/>
      <c r="AO899" s="1"/>
      <c r="AP899" s="1"/>
      <c r="AQ899" s="1"/>
      <c r="AR899" s="1"/>
      <c r="AT899" s="1"/>
      <c r="AU899" s="1"/>
      <c r="AV899" s="1"/>
      <c r="AW899" s="1"/>
      <c r="AX899" s="1"/>
      <c r="AY899" s="1"/>
    </row>
    <row r="900" spans="1:51" ht="15.75" customHeight="1" x14ac:dyDescent="0.2">
      <c r="A900" s="245"/>
      <c r="B900" s="244"/>
      <c r="C900" s="245"/>
      <c r="D900" s="1"/>
      <c r="E900" s="290"/>
      <c r="F900" s="1"/>
      <c r="L900" s="246"/>
      <c r="W900" s="1"/>
      <c r="Y900" s="1"/>
      <c r="AA900" s="1"/>
      <c r="AC900" s="1"/>
      <c r="AE900" s="1"/>
      <c r="AG900" s="1"/>
      <c r="AI900" s="1"/>
      <c r="AK900" s="1"/>
      <c r="AO900" s="1"/>
      <c r="AP900" s="1"/>
      <c r="AQ900" s="1"/>
      <c r="AR900" s="1"/>
      <c r="AT900" s="1"/>
      <c r="AU900" s="1"/>
      <c r="AV900" s="1"/>
      <c r="AW900" s="1"/>
      <c r="AX900" s="1"/>
      <c r="AY900" s="1"/>
    </row>
  </sheetData>
  <sheetProtection algorithmName="SHA-512" hashValue="MIbIhhMvgi/shpMLjb4WB4Rkht1XG6+Z0UJsPM+JpaUPcAnk6VtHk3sUGf6iLZq8RYv4O4LiYnlWChtNahfrPw==" saltValue="AQOKZHxgNkmsCIy7XsJm7A==" spinCount="100000" sheet="1" objects="1" scenarios="1" formatCells="0" formatColumns="0" formatRows="0" insertColumns="0" insertRows="0" insertHyperlinks="0" deleteColumns="0" deleteRows="0" sort="0" autoFilter="0" pivotTables="0"/>
  <autoFilter ref="A4:AY108"/>
  <mergeCells count="29">
    <mergeCell ref="G112:I112"/>
    <mergeCell ref="A1:A3"/>
    <mergeCell ref="B1:AG2"/>
    <mergeCell ref="AI1:AR1"/>
    <mergeCell ref="AI2:AR2"/>
    <mergeCell ref="B3:AG3"/>
    <mergeCell ref="AI3:AN3"/>
    <mergeCell ref="AO3:AR3"/>
    <mergeCell ref="B12:B18"/>
    <mergeCell ref="D27:D29"/>
    <mergeCell ref="B47:B56"/>
    <mergeCell ref="B85:B87"/>
    <mergeCell ref="B103:B105"/>
    <mergeCell ref="G115:G116"/>
    <mergeCell ref="H115:I116"/>
    <mergeCell ref="G117:G118"/>
    <mergeCell ref="H117:I118"/>
    <mergeCell ref="G119:G120"/>
    <mergeCell ref="H119:I120"/>
    <mergeCell ref="G127:G128"/>
    <mergeCell ref="H127:I128"/>
    <mergeCell ref="H129:I130"/>
    <mergeCell ref="G130:G131"/>
    <mergeCell ref="G121:G122"/>
    <mergeCell ref="H121:I122"/>
    <mergeCell ref="G123:G124"/>
    <mergeCell ref="H123:I124"/>
    <mergeCell ref="G125:G126"/>
    <mergeCell ref="H125:I126"/>
  </mergeCells>
  <pageMargins left="0.70866141732283472" right="0.70866141732283472" top="0.74803149606299213" bottom="0.74803149606299213" header="0.31496062992125984" footer="0.31496062992125984"/>
  <pageSetup paperSize="5" scale="37" orientation="landscape" r:id="rId1"/>
  <rowBreaks count="3" manualBreakCount="3">
    <brk id="57" max="61" man="1"/>
    <brk id="66" max="16383" man="1"/>
    <brk id="108" max="32" man="1"/>
  </rowBreaks>
  <colBreaks count="1" manualBreakCount="1">
    <brk id="20" max="1048575" man="1"/>
  </colBreaks>
  <ignoredErrors>
    <ignoredError sqref="AS12 AS78 AS95"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9"/>
  <sheetViews>
    <sheetView showGridLines="0" topLeftCell="A19" workbookViewId="0">
      <selection activeCell="F19" sqref="F19"/>
    </sheetView>
  </sheetViews>
  <sheetFormatPr baseColWidth="10" defaultRowHeight="15" x14ac:dyDescent="0.25"/>
  <cols>
    <col min="2" max="2" width="21.28515625" customWidth="1"/>
    <col min="3" max="3" width="23.28515625" customWidth="1"/>
    <col min="4" max="4" width="28.42578125" customWidth="1"/>
    <col min="5" max="5" width="39.42578125" bestFit="1" customWidth="1"/>
    <col min="6" max="6" width="30.28515625" customWidth="1"/>
    <col min="10" max="10" width="12" bestFit="1" customWidth="1"/>
  </cols>
  <sheetData>
    <row r="2" spans="2:10" ht="15.75" x14ac:dyDescent="0.25">
      <c r="B2" s="409" t="s">
        <v>1105</v>
      </c>
      <c r="C2" s="410"/>
      <c r="D2" s="17" t="s">
        <v>1106</v>
      </c>
      <c r="E2" s="17"/>
      <c r="F2" s="17" t="s">
        <v>1107</v>
      </c>
    </row>
    <row r="3" spans="2:10" ht="150" x14ac:dyDescent="0.25">
      <c r="B3" s="17" t="s">
        <v>39</v>
      </c>
      <c r="C3" s="18" t="s">
        <v>40</v>
      </c>
      <c r="D3" s="19" t="s">
        <v>41</v>
      </c>
      <c r="E3" s="250" t="s">
        <v>1108</v>
      </c>
      <c r="F3" s="19">
        <v>4</v>
      </c>
      <c r="G3" t="s">
        <v>1109</v>
      </c>
    </row>
    <row r="4" spans="2:10" ht="60" x14ac:dyDescent="0.25">
      <c r="B4" s="17" t="s">
        <v>39</v>
      </c>
      <c r="C4" s="45" t="s">
        <v>102</v>
      </c>
      <c r="D4" s="19" t="s">
        <v>103</v>
      </c>
      <c r="E4" s="250" t="s">
        <v>1110</v>
      </c>
      <c r="F4" s="19">
        <v>3</v>
      </c>
      <c r="G4" t="s">
        <v>1109</v>
      </c>
    </row>
    <row r="5" spans="2:10" ht="255" x14ac:dyDescent="0.25">
      <c r="B5" s="54" t="s">
        <v>146</v>
      </c>
      <c r="C5" s="200" t="s">
        <v>147</v>
      </c>
      <c r="D5" s="251" t="s">
        <v>148</v>
      </c>
      <c r="E5" s="250" t="s">
        <v>1111</v>
      </c>
      <c r="F5" s="19">
        <v>7</v>
      </c>
      <c r="G5" t="s">
        <v>1109</v>
      </c>
    </row>
    <row r="6" spans="2:10" ht="195" x14ac:dyDescent="0.25">
      <c r="B6" s="64" t="s">
        <v>146</v>
      </c>
      <c r="C6" s="65" t="s">
        <v>244</v>
      </c>
      <c r="D6" s="66" t="s">
        <v>245</v>
      </c>
      <c r="E6" s="250" t="s">
        <v>1112</v>
      </c>
      <c r="F6" s="19">
        <v>7</v>
      </c>
      <c r="G6" t="s">
        <v>1109</v>
      </c>
    </row>
    <row r="7" spans="2:10" ht="405" x14ac:dyDescent="0.25">
      <c r="B7" s="78" t="s">
        <v>317</v>
      </c>
      <c r="C7" s="65" t="s">
        <v>318</v>
      </c>
      <c r="D7" s="79" t="s">
        <v>319</v>
      </c>
      <c r="E7" s="250" t="s">
        <v>1113</v>
      </c>
      <c r="F7" s="19">
        <v>20</v>
      </c>
      <c r="G7" t="s">
        <v>1109</v>
      </c>
    </row>
    <row r="8" spans="2:10" ht="225" x14ac:dyDescent="0.25">
      <c r="B8" s="78" t="s">
        <v>317</v>
      </c>
      <c r="C8" s="200" t="s">
        <v>501</v>
      </c>
      <c r="D8" s="154" t="s">
        <v>502</v>
      </c>
      <c r="E8" s="250" t="s">
        <v>1114</v>
      </c>
      <c r="F8" s="19">
        <v>10</v>
      </c>
      <c r="G8" t="s">
        <v>1109</v>
      </c>
    </row>
    <row r="9" spans="2:10" ht="195" x14ac:dyDescent="0.25">
      <c r="B9" s="78" t="s">
        <v>317</v>
      </c>
      <c r="C9" s="65" t="s">
        <v>601</v>
      </c>
      <c r="D9" s="251" t="s">
        <v>602</v>
      </c>
      <c r="E9" s="250" t="s">
        <v>1115</v>
      </c>
      <c r="F9" s="19">
        <v>8</v>
      </c>
      <c r="G9" t="s">
        <v>1109</v>
      </c>
    </row>
    <row r="10" spans="2:10" ht="120" x14ac:dyDescent="0.25">
      <c r="B10" s="78" t="s">
        <v>317</v>
      </c>
      <c r="C10" s="45" t="s">
        <v>696</v>
      </c>
      <c r="D10" s="154" t="s">
        <v>697</v>
      </c>
      <c r="E10" s="250" t="s">
        <v>1116</v>
      </c>
      <c r="F10" s="19">
        <v>5</v>
      </c>
      <c r="G10" t="s">
        <v>1109</v>
      </c>
    </row>
    <row r="11" spans="2:10" ht="105" x14ac:dyDescent="0.25">
      <c r="B11" s="155" t="s">
        <v>317</v>
      </c>
      <c r="C11" s="45" t="s">
        <v>772</v>
      </c>
      <c r="D11" s="19" t="s">
        <v>773</v>
      </c>
      <c r="E11" s="250" t="s">
        <v>1117</v>
      </c>
      <c r="F11" s="19">
        <v>4</v>
      </c>
      <c r="G11" t="s">
        <v>1109</v>
      </c>
    </row>
    <row r="12" spans="2:10" ht="90" x14ac:dyDescent="0.25">
      <c r="B12" s="155" t="s">
        <v>317</v>
      </c>
      <c r="C12" s="45" t="s">
        <v>817</v>
      </c>
      <c r="D12" s="19" t="s">
        <v>818</v>
      </c>
      <c r="E12" s="250" t="s">
        <v>1118</v>
      </c>
      <c r="F12" s="19">
        <v>4</v>
      </c>
      <c r="G12" t="s">
        <v>1109</v>
      </c>
    </row>
    <row r="13" spans="2:10" ht="60" x14ac:dyDescent="0.25">
      <c r="B13" s="155" t="s">
        <v>317</v>
      </c>
      <c r="C13" s="185" t="s">
        <v>852</v>
      </c>
      <c r="D13" s="209" t="s">
        <v>853</v>
      </c>
      <c r="E13" s="250" t="s">
        <v>1119</v>
      </c>
      <c r="F13" s="19">
        <v>2</v>
      </c>
      <c r="G13" t="s">
        <v>1109</v>
      </c>
    </row>
    <row r="14" spans="2:10" ht="75" x14ac:dyDescent="0.25">
      <c r="B14" s="194" t="s">
        <v>317</v>
      </c>
      <c r="C14" s="65" t="s">
        <v>883</v>
      </c>
      <c r="D14" s="195" t="s">
        <v>884</v>
      </c>
      <c r="E14" s="250" t="s">
        <v>1120</v>
      </c>
      <c r="F14" s="19">
        <v>4</v>
      </c>
      <c r="G14" t="s">
        <v>1109</v>
      </c>
    </row>
    <row r="15" spans="2:10" ht="120" x14ac:dyDescent="0.25">
      <c r="B15" s="78" t="s">
        <v>317</v>
      </c>
      <c r="C15" s="45" t="s">
        <v>900</v>
      </c>
      <c r="D15" s="186" t="s">
        <v>901</v>
      </c>
      <c r="E15" s="250" t="s">
        <v>1121</v>
      </c>
      <c r="F15" s="19">
        <v>4</v>
      </c>
      <c r="G15" t="s">
        <v>1109</v>
      </c>
      <c r="J15" s="343"/>
    </row>
    <row r="16" spans="2:10" ht="165" x14ac:dyDescent="0.25">
      <c r="B16" s="155" t="s">
        <v>954</v>
      </c>
      <c r="C16" s="45" t="s">
        <v>955</v>
      </c>
      <c r="D16" s="209" t="s">
        <v>956</v>
      </c>
      <c r="E16" s="250" t="s">
        <v>1122</v>
      </c>
      <c r="F16" s="19">
        <v>6</v>
      </c>
      <c r="G16" t="s">
        <v>1109</v>
      </c>
    </row>
    <row r="17" spans="2:7" ht="135" x14ac:dyDescent="0.25">
      <c r="B17" s="155" t="s">
        <v>954</v>
      </c>
      <c r="C17" s="45" t="s">
        <v>1033</v>
      </c>
      <c r="D17" s="215" t="s">
        <v>1034</v>
      </c>
      <c r="E17" s="250" t="s">
        <v>1123</v>
      </c>
      <c r="F17" s="19">
        <v>8</v>
      </c>
      <c r="G17" t="s">
        <v>1109</v>
      </c>
    </row>
    <row r="18" spans="2:7" ht="165" x14ac:dyDescent="0.25">
      <c r="B18" s="155" t="s">
        <v>954</v>
      </c>
      <c r="C18" s="45" t="s">
        <v>1075</v>
      </c>
      <c r="D18" s="209" t="s">
        <v>1076</v>
      </c>
      <c r="E18" s="250" t="s">
        <v>1124</v>
      </c>
      <c r="F18" s="19">
        <v>4</v>
      </c>
    </row>
    <row r="19" spans="2:7" ht="15.75" x14ac:dyDescent="0.25">
      <c r="F19" s="19">
        <f>SUM(F3:F18)</f>
        <v>100</v>
      </c>
    </row>
  </sheetData>
  <sheetProtection algorithmName="SHA-512" hashValue="KTh7h6nJzTBLLLugBtpHhrlvpgr7b+co4GVL7bH0EgEbdEqPH4zNnREY9G3U2rhreBOSyMzd7aQGCqjzofIeOw==" saltValue="PaKuXJsLLVyLBojI8dlEkw==" spinCount="100000" sheet="1" formatCells="0" formatColumns="0" formatRows="0" insertColumns="0" insertRows="0" insertHyperlinks="0" deleteColumns="0" deleteRows="0" sort="0" autoFilter="0" pivotTables="0"/>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17"/>
  <sheetViews>
    <sheetView showGridLines="0" tabSelected="1" workbookViewId="0">
      <selection activeCell="D13" sqref="D13"/>
    </sheetView>
  </sheetViews>
  <sheetFormatPr baseColWidth="10" defaultRowHeight="15" x14ac:dyDescent="0.25"/>
  <cols>
    <col min="2" max="2" width="12.140625" bestFit="1" customWidth="1"/>
    <col min="6" max="6" width="15.7109375" customWidth="1"/>
    <col min="9" max="9" width="15.85546875" customWidth="1"/>
    <col min="12" max="12" width="12" bestFit="1" customWidth="1"/>
    <col min="18" max="18" width="15.42578125" customWidth="1"/>
    <col min="24" max="24" width="14.140625" customWidth="1"/>
  </cols>
  <sheetData>
    <row r="2" spans="2:24" ht="15.75" thickBot="1" x14ac:dyDescent="0.3"/>
    <row r="3" spans="2:24" ht="16.5" thickBot="1" x14ac:dyDescent="0.3">
      <c r="B3" s="422" t="s">
        <v>1306</v>
      </c>
      <c r="C3" s="423"/>
      <c r="D3" s="423"/>
      <c r="E3" s="423"/>
      <c r="F3" s="424"/>
      <c r="H3" s="417" t="s">
        <v>1306</v>
      </c>
      <c r="I3" s="418"/>
      <c r="J3" s="418"/>
      <c r="K3" s="418"/>
      <c r="L3" s="419"/>
      <c r="N3" s="417" t="s">
        <v>1306</v>
      </c>
      <c r="O3" s="418"/>
      <c r="P3" s="418"/>
      <c r="Q3" s="418"/>
      <c r="R3" s="419"/>
      <c r="T3" s="417" t="s">
        <v>1306</v>
      </c>
      <c r="U3" s="418"/>
      <c r="V3" s="418"/>
      <c r="W3" s="418"/>
      <c r="X3" s="419"/>
    </row>
    <row r="4" spans="2:24" ht="134.25" customHeight="1" x14ac:dyDescent="0.25">
      <c r="B4" s="413" t="s">
        <v>1307</v>
      </c>
      <c r="C4" s="414"/>
      <c r="D4" s="358">
        <v>2018</v>
      </c>
      <c r="E4" s="358">
        <v>2017</v>
      </c>
      <c r="F4" s="359" t="s">
        <v>1318</v>
      </c>
      <c r="H4" s="420" t="s">
        <v>1315</v>
      </c>
      <c r="I4" s="421"/>
      <c r="J4" s="353" t="s">
        <v>1321</v>
      </c>
      <c r="K4" s="355" t="s">
        <v>1317</v>
      </c>
      <c r="L4" s="354" t="s">
        <v>1318</v>
      </c>
      <c r="N4" s="420" t="s">
        <v>1320</v>
      </c>
      <c r="O4" s="421"/>
      <c r="P4" s="355" t="s">
        <v>1325</v>
      </c>
      <c r="Q4" s="353" t="s">
        <v>1324</v>
      </c>
      <c r="R4" s="354" t="s">
        <v>1318</v>
      </c>
      <c r="T4" s="420" t="s">
        <v>1323</v>
      </c>
      <c r="U4" s="421"/>
      <c r="V4" s="355" t="s">
        <v>1325</v>
      </c>
      <c r="W4" s="353" t="s">
        <v>1324</v>
      </c>
      <c r="X4" s="354" t="s">
        <v>1318</v>
      </c>
    </row>
    <row r="5" spans="2:24" x14ac:dyDescent="0.25">
      <c r="B5" s="411" t="s">
        <v>1308</v>
      </c>
      <c r="C5" s="412"/>
      <c r="D5" s="350"/>
      <c r="E5" s="350"/>
      <c r="F5" s="351">
        <f>+D5-E5</f>
        <v>0</v>
      </c>
      <c r="H5" s="411" t="s">
        <v>1308</v>
      </c>
      <c r="I5" s="412"/>
      <c r="J5" s="350">
        <v>1</v>
      </c>
      <c r="K5" s="350">
        <v>1</v>
      </c>
      <c r="L5" s="351">
        <f>+J5/K5</f>
        <v>1</v>
      </c>
      <c r="N5" s="411" t="s">
        <v>1308</v>
      </c>
      <c r="O5" s="412"/>
      <c r="P5" s="350">
        <v>1</v>
      </c>
      <c r="Q5" s="350">
        <v>1</v>
      </c>
      <c r="R5" s="351">
        <f>+P5-Q5</f>
        <v>0</v>
      </c>
      <c r="T5" s="411" t="s">
        <v>1308</v>
      </c>
      <c r="U5" s="412"/>
      <c r="V5" s="350">
        <v>1</v>
      </c>
      <c r="W5" s="350">
        <v>1</v>
      </c>
      <c r="X5" s="351">
        <f>+V5-W5</f>
        <v>0</v>
      </c>
    </row>
    <row r="6" spans="2:24" x14ac:dyDescent="0.25">
      <c r="B6" s="411" t="s">
        <v>1309</v>
      </c>
      <c r="C6" s="412"/>
      <c r="D6" s="350"/>
      <c r="E6" s="350"/>
      <c r="F6" s="351">
        <f t="shared" ref="F6:F16" si="0">+D6-E6</f>
        <v>0</v>
      </c>
      <c r="H6" s="411" t="s">
        <v>1309</v>
      </c>
      <c r="I6" s="412"/>
      <c r="J6" s="350">
        <v>1</v>
      </c>
      <c r="K6" s="350">
        <v>1</v>
      </c>
      <c r="L6" s="351">
        <f t="shared" ref="L6:L16" si="1">+J6/K6</f>
        <v>1</v>
      </c>
      <c r="N6" s="411" t="s">
        <v>1309</v>
      </c>
      <c r="O6" s="412"/>
      <c r="P6" s="350">
        <v>1</v>
      </c>
      <c r="Q6" s="350">
        <v>1</v>
      </c>
      <c r="R6" s="351">
        <f t="shared" ref="R6:R16" si="2">+P6-Q6</f>
        <v>0</v>
      </c>
      <c r="T6" s="411" t="s">
        <v>1309</v>
      </c>
      <c r="U6" s="412"/>
      <c r="V6" s="350">
        <v>1</v>
      </c>
      <c r="W6" s="350">
        <v>1</v>
      </c>
      <c r="X6" s="351">
        <f t="shared" ref="X6:X16" si="3">+V6-W6</f>
        <v>0</v>
      </c>
    </row>
    <row r="7" spans="2:24" x14ac:dyDescent="0.25">
      <c r="B7" s="411" t="s">
        <v>1310</v>
      </c>
      <c r="C7" s="412"/>
      <c r="D7" s="350"/>
      <c r="E7" s="350"/>
      <c r="F7" s="351">
        <f t="shared" si="0"/>
        <v>0</v>
      </c>
      <c r="H7" s="411" t="s">
        <v>1310</v>
      </c>
      <c r="I7" s="412"/>
      <c r="J7" s="350">
        <v>1</v>
      </c>
      <c r="K7" s="350">
        <v>1</v>
      </c>
      <c r="L7" s="351">
        <f t="shared" si="1"/>
        <v>1</v>
      </c>
      <c r="N7" s="411" t="s">
        <v>1310</v>
      </c>
      <c r="O7" s="412"/>
      <c r="P7" s="350">
        <v>1</v>
      </c>
      <c r="Q7" s="350">
        <v>1</v>
      </c>
      <c r="R7" s="351">
        <f t="shared" si="2"/>
        <v>0</v>
      </c>
      <c r="T7" s="411" t="s">
        <v>1310</v>
      </c>
      <c r="U7" s="412"/>
      <c r="V7" s="350">
        <v>1</v>
      </c>
      <c r="W7" s="350">
        <v>1</v>
      </c>
      <c r="X7" s="351">
        <f t="shared" si="3"/>
        <v>0</v>
      </c>
    </row>
    <row r="8" spans="2:24" x14ac:dyDescent="0.25">
      <c r="B8" s="411" t="s">
        <v>1311</v>
      </c>
      <c r="C8" s="412"/>
      <c r="D8" s="350">
        <v>2706</v>
      </c>
      <c r="E8" s="350">
        <v>680</v>
      </c>
      <c r="F8" s="368">
        <f t="shared" si="0"/>
        <v>2026</v>
      </c>
      <c r="H8" s="411" t="s">
        <v>1311</v>
      </c>
      <c r="I8" s="412"/>
      <c r="J8" s="350">
        <v>97850</v>
      </c>
      <c r="K8" s="350">
        <v>2421090</v>
      </c>
      <c r="L8" s="368">
        <f t="shared" si="1"/>
        <v>4.0415680540582963E-2</v>
      </c>
      <c r="N8" s="411" t="s">
        <v>1311</v>
      </c>
      <c r="O8" s="412"/>
      <c r="P8" s="350">
        <v>7904</v>
      </c>
      <c r="Q8" s="350">
        <v>1486.9</v>
      </c>
      <c r="R8" s="368">
        <f t="shared" si="2"/>
        <v>6417.1</v>
      </c>
      <c r="T8" s="411" t="s">
        <v>1311</v>
      </c>
      <c r="U8" s="412"/>
      <c r="V8" s="350">
        <v>176.5</v>
      </c>
      <c r="W8" s="350">
        <v>156</v>
      </c>
      <c r="X8" s="351">
        <f t="shared" si="3"/>
        <v>20.5</v>
      </c>
    </row>
    <row r="9" spans="2:24" x14ac:dyDescent="0.25">
      <c r="B9" s="411" t="s">
        <v>22</v>
      </c>
      <c r="C9" s="412"/>
      <c r="D9" s="350">
        <v>2177</v>
      </c>
      <c r="E9" s="350">
        <v>1053</v>
      </c>
      <c r="F9" s="368">
        <f t="shared" si="0"/>
        <v>1124</v>
      </c>
      <c r="H9" s="411" t="s">
        <v>22</v>
      </c>
      <c r="I9" s="412"/>
      <c r="J9" s="350">
        <v>84540</v>
      </c>
      <c r="K9" s="350">
        <v>2114416</v>
      </c>
      <c r="L9" s="368">
        <f t="shared" si="1"/>
        <v>3.9982671338090518E-2</v>
      </c>
      <c r="N9" s="411" t="s">
        <v>22</v>
      </c>
      <c r="O9" s="412"/>
      <c r="P9" s="350">
        <v>16135</v>
      </c>
      <c r="Q9" s="350">
        <v>7904</v>
      </c>
      <c r="R9" s="367">
        <f t="shared" si="2"/>
        <v>8231</v>
      </c>
      <c r="T9" s="411" t="s">
        <v>22</v>
      </c>
      <c r="U9" s="412"/>
      <c r="V9" s="350">
        <v>213.3</v>
      </c>
      <c r="W9" s="350">
        <v>176.5</v>
      </c>
      <c r="X9" s="351">
        <f t="shared" si="3"/>
        <v>36.800000000000011</v>
      </c>
    </row>
    <row r="10" spans="2:24" x14ac:dyDescent="0.25">
      <c r="B10" s="411" t="s">
        <v>23</v>
      </c>
      <c r="C10" s="412"/>
      <c r="D10" s="350"/>
      <c r="E10" s="350"/>
      <c r="F10" s="364">
        <f t="shared" si="0"/>
        <v>0</v>
      </c>
      <c r="H10" s="411" t="s">
        <v>23</v>
      </c>
      <c r="I10" s="412"/>
      <c r="J10" s="350">
        <v>40830</v>
      </c>
      <c r="K10" s="350">
        <v>977251</v>
      </c>
      <c r="L10" s="368">
        <f t="shared" si="1"/>
        <v>4.1780463770310798E-2</v>
      </c>
      <c r="N10" s="411" t="s">
        <v>23</v>
      </c>
      <c r="O10" s="412"/>
      <c r="P10" s="350">
        <v>3140</v>
      </c>
      <c r="Q10" s="350">
        <v>16135</v>
      </c>
      <c r="R10" s="364">
        <f t="shared" si="2"/>
        <v>-12995</v>
      </c>
      <c r="T10" s="411" t="s">
        <v>23</v>
      </c>
      <c r="U10" s="412"/>
      <c r="V10" s="350">
        <v>141.19999999999999</v>
      </c>
      <c r="W10" s="350">
        <v>213.3</v>
      </c>
      <c r="X10" s="365">
        <f t="shared" si="3"/>
        <v>-72.100000000000023</v>
      </c>
    </row>
    <row r="11" spans="2:24" x14ac:dyDescent="0.25">
      <c r="B11" s="411" t="s">
        <v>24</v>
      </c>
      <c r="C11" s="412"/>
      <c r="D11" s="350"/>
      <c r="E11" s="350"/>
      <c r="F11" s="364">
        <f t="shared" si="0"/>
        <v>0</v>
      </c>
      <c r="H11" s="411" t="s">
        <v>24</v>
      </c>
      <c r="I11" s="412"/>
      <c r="J11" s="350">
        <v>1</v>
      </c>
      <c r="K11" s="350">
        <v>1</v>
      </c>
      <c r="L11" s="364">
        <f t="shared" si="1"/>
        <v>1</v>
      </c>
      <c r="N11" s="411" t="s">
        <v>24</v>
      </c>
      <c r="O11" s="412"/>
      <c r="P11" s="350">
        <v>1</v>
      </c>
      <c r="Q11" s="350">
        <v>1</v>
      </c>
      <c r="R11" s="364">
        <f t="shared" si="2"/>
        <v>0</v>
      </c>
      <c r="T11" s="411" t="s">
        <v>24</v>
      </c>
      <c r="U11" s="412"/>
      <c r="V11" s="350">
        <v>1</v>
      </c>
      <c r="W11" s="350">
        <v>1</v>
      </c>
      <c r="X11" s="351">
        <f t="shared" si="3"/>
        <v>0</v>
      </c>
    </row>
    <row r="12" spans="2:24" x14ac:dyDescent="0.25">
      <c r="B12" s="411" t="s">
        <v>1312</v>
      </c>
      <c r="C12" s="412"/>
      <c r="D12" s="350"/>
      <c r="E12" s="350"/>
      <c r="F12" s="364">
        <f t="shared" si="0"/>
        <v>0</v>
      </c>
      <c r="H12" s="411" t="s">
        <v>1312</v>
      </c>
      <c r="I12" s="412"/>
      <c r="J12" s="350">
        <v>1</v>
      </c>
      <c r="K12" s="350">
        <v>1</v>
      </c>
      <c r="L12" s="364">
        <f t="shared" si="1"/>
        <v>1</v>
      </c>
      <c r="N12" s="411" t="s">
        <v>1312</v>
      </c>
      <c r="O12" s="412"/>
      <c r="P12" s="350">
        <v>1</v>
      </c>
      <c r="Q12" s="350">
        <v>1</v>
      </c>
      <c r="R12" s="364">
        <f t="shared" si="2"/>
        <v>0</v>
      </c>
      <c r="T12" s="411" t="s">
        <v>1312</v>
      </c>
      <c r="U12" s="412"/>
      <c r="V12" s="350">
        <v>1</v>
      </c>
      <c r="W12" s="350">
        <v>1</v>
      </c>
      <c r="X12" s="351">
        <f t="shared" si="3"/>
        <v>0</v>
      </c>
    </row>
    <row r="13" spans="2:24" x14ac:dyDescent="0.25">
      <c r="B13" s="411" t="s">
        <v>1313</v>
      </c>
      <c r="C13" s="412"/>
      <c r="D13" s="350"/>
      <c r="E13" s="350"/>
      <c r="F13" s="364">
        <f t="shared" si="0"/>
        <v>0</v>
      </c>
      <c r="H13" s="411" t="s">
        <v>1313</v>
      </c>
      <c r="I13" s="412"/>
      <c r="J13" s="350">
        <v>1</v>
      </c>
      <c r="K13" s="350">
        <v>1</v>
      </c>
      <c r="L13" s="364">
        <f t="shared" si="1"/>
        <v>1</v>
      </c>
      <c r="N13" s="411" t="s">
        <v>1313</v>
      </c>
      <c r="O13" s="412"/>
      <c r="P13" s="350">
        <v>1</v>
      </c>
      <c r="Q13" s="350">
        <v>1</v>
      </c>
      <c r="R13" s="364">
        <f t="shared" si="2"/>
        <v>0</v>
      </c>
      <c r="T13" s="411" t="s">
        <v>1313</v>
      </c>
      <c r="U13" s="412"/>
      <c r="V13" s="350">
        <v>1</v>
      </c>
      <c r="W13" s="350">
        <v>1</v>
      </c>
      <c r="X13" s="351">
        <f t="shared" si="3"/>
        <v>0</v>
      </c>
    </row>
    <row r="14" spans="2:24" x14ac:dyDescent="0.25">
      <c r="B14" s="411" t="s">
        <v>27</v>
      </c>
      <c r="C14" s="412"/>
      <c r="D14" s="350">
        <v>1831</v>
      </c>
      <c r="E14" s="350">
        <v>1659</v>
      </c>
      <c r="F14" s="368">
        <f t="shared" si="0"/>
        <v>172</v>
      </c>
      <c r="H14" s="411" t="s">
        <v>27</v>
      </c>
      <c r="I14" s="412"/>
      <c r="J14" s="350">
        <v>21300</v>
      </c>
      <c r="K14" s="350">
        <v>1658568</v>
      </c>
      <c r="L14" s="368">
        <f t="shared" si="1"/>
        <v>1.2842403808586684E-2</v>
      </c>
      <c r="N14" s="411" t="s">
        <v>27</v>
      </c>
      <c r="O14" s="412"/>
      <c r="P14" s="350">
        <v>4314</v>
      </c>
      <c r="Q14" s="350">
        <v>6371</v>
      </c>
      <c r="R14" s="364">
        <f t="shared" si="2"/>
        <v>-2057</v>
      </c>
      <c r="T14" s="411" t="s">
        <v>27</v>
      </c>
      <c r="U14" s="412"/>
      <c r="V14" s="350">
        <v>140.30000000000001</v>
      </c>
      <c r="W14" s="350">
        <v>104.2</v>
      </c>
      <c r="X14" s="351">
        <f t="shared" si="3"/>
        <v>36.100000000000009</v>
      </c>
    </row>
    <row r="15" spans="2:24" x14ac:dyDescent="0.25">
      <c r="B15" s="411" t="s">
        <v>28</v>
      </c>
      <c r="C15" s="412"/>
      <c r="D15" s="350">
        <v>2868</v>
      </c>
      <c r="E15" s="350">
        <v>1709</v>
      </c>
      <c r="F15" s="368">
        <f t="shared" si="0"/>
        <v>1159</v>
      </c>
      <c r="H15" s="411" t="s">
        <v>28</v>
      </c>
      <c r="I15" s="412"/>
      <c r="J15" s="350">
        <v>45120</v>
      </c>
      <c r="K15" s="350">
        <v>2996682</v>
      </c>
      <c r="L15" s="368">
        <f t="shared" si="1"/>
        <v>1.5056652657839571E-2</v>
      </c>
      <c r="N15" s="411" t="s">
        <v>28</v>
      </c>
      <c r="O15" s="412"/>
      <c r="P15" s="350">
        <v>4386</v>
      </c>
      <c r="Q15" s="350">
        <v>4314</v>
      </c>
      <c r="R15" s="367">
        <f t="shared" si="2"/>
        <v>72</v>
      </c>
      <c r="T15" s="411" t="s">
        <v>28</v>
      </c>
      <c r="U15" s="412"/>
      <c r="V15" s="350">
        <v>79.8</v>
      </c>
      <c r="W15" s="350">
        <v>140.30000000000001</v>
      </c>
      <c r="X15" s="365">
        <f t="shared" si="3"/>
        <v>-60.500000000000014</v>
      </c>
    </row>
    <row r="16" spans="2:24" ht="15.75" thickBot="1" x14ac:dyDescent="0.3">
      <c r="B16" s="415" t="s">
        <v>29</v>
      </c>
      <c r="C16" s="416"/>
      <c r="D16" s="352">
        <v>2105</v>
      </c>
      <c r="E16" s="352">
        <v>1906</v>
      </c>
      <c r="F16" s="369">
        <f t="shared" si="0"/>
        <v>199</v>
      </c>
      <c r="H16" s="415" t="s">
        <v>29</v>
      </c>
      <c r="I16" s="416"/>
      <c r="J16" s="352">
        <v>82040</v>
      </c>
      <c r="K16" s="352">
        <v>1576962</v>
      </c>
      <c r="L16" s="369">
        <f t="shared" si="1"/>
        <v>5.2024081747055417E-2</v>
      </c>
      <c r="N16" s="415" t="s">
        <v>29</v>
      </c>
      <c r="O16" s="416"/>
      <c r="P16" s="352">
        <v>5840</v>
      </c>
      <c r="Q16" s="352">
        <v>4386</v>
      </c>
      <c r="R16" s="366">
        <f t="shared" si="2"/>
        <v>1454</v>
      </c>
      <c r="T16" s="415" t="s">
        <v>29</v>
      </c>
      <c r="U16" s="416"/>
      <c r="V16" s="352">
        <v>12.2</v>
      </c>
      <c r="W16" s="352">
        <v>79.8</v>
      </c>
      <c r="X16" s="363">
        <f t="shared" si="3"/>
        <v>-67.599999999999994</v>
      </c>
    </row>
    <row r="17" spans="6:24" ht="45" x14ac:dyDescent="0.25">
      <c r="F17" s="360" t="s">
        <v>1314</v>
      </c>
      <c r="L17" s="361" t="s">
        <v>1314</v>
      </c>
      <c r="R17" s="362" t="s">
        <v>1327</v>
      </c>
      <c r="X17" s="362" t="s">
        <v>1327</v>
      </c>
    </row>
  </sheetData>
  <sheetProtection algorithmName="SHA-512" hashValue="tFOm3wjr/CFZdtD8TMzWWtWyEpErKE2fjQVDGz+ZvlPogRDjn5tc+a/b7yPYUbmmmF+9ObYqtrrfkMhqh7V2mQ==" saltValue="fpfxKe4a2pvob8HVVkSopg==" spinCount="100000" sheet="1" formatCells="0" formatColumns="0" formatRows="0" insertColumns="0" insertRows="0" insertHyperlinks="0" deleteColumns="0" deleteRows="0" sort="0" autoFilter="0" pivotTables="0"/>
  <mergeCells count="56">
    <mergeCell ref="T16:U16"/>
    <mergeCell ref="B3:F3"/>
    <mergeCell ref="T10:U10"/>
    <mergeCell ref="T11:U11"/>
    <mergeCell ref="T12:U12"/>
    <mergeCell ref="T13:U13"/>
    <mergeCell ref="T14:U14"/>
    <mergeCell ref="T15:U15"/>
    <mergeCell ref="N14:O14"/>
    <mergeCell ref="N15:O15"/>
    <mergeCell ref="N16:O16"/>
    <mergeCell ref="T3:X3"/>
    <mergeCell ref="T4:U4"/>
    <mergeCell ref="T5:U5"/>
    <mergeCell ref="T6:U6"/>
    <mergeCell ref="T7:U7"/>
    <mergeCell ref="T8:U8"/>
    <mergeCell ref="T9:U9"/>
    <mergeCell ref="N8:O8"/>
    <mergeCell ref="N9:O9"/>
    <mergeCell ref="N10:O10"/>
    <mergeCell ref="N11:O11"/>
    <mergeCell ref="N12:O12"/>
    <mergeCell ref="N13:O13"/>
    <mergeCell ref="H3:L3"/>
    <mergeCell ref="N3:R3"/>
    <mergeCell ref="N4:O4"/>
    <mergeCell ref="N5:O5"/>
    <mergeCell ref="N6:O6"/>
    <mergeCell ref="N7:O7"/>
    <mergeCell ref="H11:I11"/>
    <mergeCell ref="H12:I12"/>
    <mergeCell ref="H13:I13"/>
    <mergeCell ref="H4:I4"/>
    <mergeCell ref="H5:I5"/>
    <mergeCell ref="H6:I6"/>
    <mergeCell ref="H7:I7"/>
    <mergeCell ref="H14:I14"/>
    <mergeCell ref="H15:I15"/>
    <mergeCell ref="H16:I16"/>
    <mergeCell ref="B15:C15"/>
    <mergeCell ref="B16:C16"/>
    <mergeCell ref="H8:I8"/>
    <mergeCell ref="H9:I9"/>
    <mergeCell ref="H10:I10"/>
    <mergeCell ref="B9:C9"/>
    <mergeCell ref="B10:C10"/>
    <mergeCell ref="B11:C11"/>
    <mergeCell ref="B12:C12"/>
    <mergeCell ref="B13:C13"/>
    <mergeCell ref="B14:C14"/>
    <mergeCell ref="B4:C4"/>
    <mergeCell ref="B5:C5"/>
    <mergeCell ref="B6:C6"/>
    <mergeCell ref="B7:C7"/>
    <mergeCell ref="B8:C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INDICADORES</vt:lpstr>
      <vt:lpstr>LISTA DE INDICADORES</vt:lpstr>
      <vt:lpstr>INFORMACIÓN ADICIONAL</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Alessandra Blanco Bernal</dc:creator>
  <cp:lastModifiedBy>Diana Alessandra Blanco Bernal</cp:lastModifiedBy>
  <dcterms:created xsi:type="dcterms:W3CDTF">2019-02-08T18:38:37Z</dcterms:created>
  <dcterms:modified xsi:type="dcterms:W3CDTF">2019-06-04T13:10:56Z</dcterms:modified>
</cp:coreProperties>
</file>